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7" windowWidth="27870" windowHeight="12120" activeTab="4"/>
  </bookViews>
  <sheets>
    <sheet name="원가계산" sheetId="1" r:id="rId1"/>
    <sheet name="단가표 EUR(초기 1,000대)" sheetId="2" r:id="rId2"/>
    <sheet name="단가표 EUR(이후)" sheetId="3" r:id="rId3"/>
    <sheet name="인건비" sheetId="4" r:id="rId4"/>
    <sheet name="MSRP" sheetId="5" r:id="rId5"/>
    <sheet name="CGV2011상반기" sheetId="6" state="hidden" r:id="rId6"/>
  </sheets>
  <definedNames>
    <definedName name="_xlnm._FilterDatabase" localSheetId="5" hidden="1">'CGV2011상반기'!$A$2:$Q$101</definedName>
    <definedName name="Motion_Base">#REF!</definedName>
    <definedName name="_xlnm.Print_Area" localSheetId="2">'단가표 EUR(이후)'!$A$1:$Y$28</definedName>
    <definedName name="_xlnm.Print_Area" localSheetId="1">'단가표 EUR(초기 1,000대)'!$A$1:$AA$29</definedName>
    <definedName name="_xlnm.Print_Titles" localSheetId="2">'단가표 EUR(이후)'!$1:$5</definedName>
    <definedName name="_xlnm.Print_Titles" localSheetId="1">'단가표 EUR(초기 1,000대)'!$1:$5</definedName>
    <definedName name="모션베이스">#REF!</definedName>
  </definedNames>
  <calcPr fullCalcOnLoad="1"/>
</workbook>
</file>

<file path=xl/sharedStrings.xml><?xml version="1.0" encoding="utf-8"?>
<sst xmlns="http://schemas.openxmlformats.org/spreadsheetml/2006/main" count="885" uniqueCount="378">
  <si>
    <t>구분</t>
  </si>
  <si>
    <t>품명</t>
  </si>
  <si>
    <t>금액</t>
  </si>
  <si>
    <t>비고</t>
  </si>
  <si>
    <t>비율</t>
  </si>
  <si>
    <t>①</t>
  </si>
  <si>
    <t>②</t>
  </si>
  <si>
    <t>④</t>
  </si>
  <si>
    <t>내용</t>
  </si>
  <si>
    <t>제조원가</t>
  </si>
  <si>
    <t>원재료비</t>
  </si>
  <si>
    <t>의정부극장\630,000</t>
  </si>
  <si>
    <t>①+②+③</t>
  </si>
  <si>
    <t>견적계산표</t>
  </si>
  <si>
    <t>노무비</t>
  </si>
  <si>
    <t>직접노무비</t>
  </si>
  <si>
    <t>원가항목</t>
  </si>
  <si>
    <t>②ⓐ</t>
  </si>
  <si>
    <t>M/H×노임단가</t>
  </si>
  <si>
    <t>직접노무비+간접노무비
(②ⓐ+②ⓑ)</t>
  </si>
  <si>
    <t>직접재료비+간접재료비
(①ⓐ+①ⓑ)</t>
  </si>
  <si>
    <t>견적가격</t>
  </si>
  <si>
    <t>※단위:원 / 천원단위미만 절사</t>
  </si>
  <si>
    <t>견적가격 산정</t>
  </si>
  <si>
    <t>Entertainment Products</t>
  </si>
  <si>
    <t>일반관리비</t>
  </si>
  <si>
    <t>내역계산표</t>
  </si>
  <si>
    <t>직접재료비+간접재료비</t>
  </si>
  <si>
    <t>출하/판매관리비</t>
  </si>
  <si>
    <t>설치포함</t>
  </si>
  <si>
    <t>합계</t>
  </si>
  <si>
    <t>석당단가</t>
  </si>
  <si>
    <t>프로젝트명 :CGV 2011상반기</t>
  </si>
  <si>
    <t>구분1</t>
  </si>
  <si>
    <t>구분2</t>
  </si>
  <si>
    <t>품명</t>
  </si>
  <si>
    <t>모델명</t>
  </si>
  <si>
    <t>단가</t>
  </si>
  <si>
    <t>금액</t>
  </si>
  <si>
    <t>업체</t>
  </si>
  <si>
    <t>납기일</t>
  </si>
  <si>
    <t>재고</t>
  </si>
  <si>
    <t>비고</t>
  </si>
  <si>
    <t>V-Seat</t>
  </si>
  <si>
    <t>Chair</t>
  </si>
  <si>
    <t>삼광2003</t>
  </si>
  <si>
    <t>석</t>
  </si>
  <si>
    <t>금액재확인</t>
  </si>
  <si>
    <t>지각커버</t>
  </si>
  <si>
    <t>1.2T</t>
  </si>
  <si>
    <t>고정나사</t>
  </si>
  <si>
    <t>Total</t>
  </si>
  <si>
    <t>등판</t>
  </si>
  <si>
    <t>발포비용</t>
  </si>
  <si>
    <t>아성</t>
  </si>
  <si>
    <t>TD Harness(Back)</t>
  </si>
  <si>
    <t>TD Harness(Back) 750m/m</t>
  </si>
  <si>
    <t>set</t>
  </si>
  <si>
    <t>메리텍</t>
  </si>
  <si>
    <t>스프링(SP)</t>
  </si>
  <si>
    <t>ø4.5 297x160</t>
  </si>
  <si>
    <t>ea</t>
  </si>
  <si>
    <t>경원스프링</t>
  </si>
  <si>
    <t>TD 브라켓</t>
  </si>
  <si>
    <t>1.6t 116x116</t>
  </si>
  <si>
    <t>한성NTC</t>
  </si>
  <si>
    <t>VISIC</t>
  </si>
  <si>
    <t>TD</t>
  </si>
  <si>
    <t>VT732</t>
  </si>
  <si>
    <t>방석</t>
  </si>
  <si>
    <t>TD Harness(Seat)</t>
  </si>
  <si>
    <t>TD Harness(Seat) 440m/m</t>
  </si>
  <si>
    <t>Φ4.5 297x300</t>
  </si>
  <si>
    <t>스폰지테이프</t>
  </si>
  <si>
    <t>40㎜ X 6M X 5T</t>
  </si>
  <si>
    <t>공구상가</t>
  </si>
  <si>
    <t xml:space="preserve"> </t>
  </si>
  <si>
    <t>고정품</t>
  </si>
  <si>
    <t>Adrienne Electronics</t>
  </si>
  <si>
    <t>PCI-LTC RDR</t>
  </si>
  <si>
    <t>AEC</t>
  </si>
  <si>
    <t>Audio I/F_M-audio</t>
  </si>
  <si>
    <t>FastTrack Ultra 8R</t>
  </si>
  <si>
    <t>국제미디</t>
  </si>
  <si>
    <t>Comp/Lim</t>
  </si>
  <si>
    <t>DBX 260</t>
  </si>
  <si>
    <t>프로사운드</t>
  </si>
  <si>
    <t>Key/Mouse</t>
  </si>
  <si>
    <t>101Key Mini Trackball USB</t>
  </si>
  <si>
    <t>YES RMS</t>
  </si>
  <si>
    <t xml:space="preserve">Monitor </t>
  </si>
  <si>
    <t>AlphaScan F19+</t>
  </si>
  <si>
    <t>다나와</t>
  </si>
  <si>
    <t>Rack_InterM</t>
  </si>
  <si>
    <t>PR231B</t>
  </si>
  <si>
    <t>삼일음향</t>
  </si>
  <si>
    <t>OS</t>
  </si>
  <si>
    <t>Windows7 Home Premium 한글</t>
  </si>
  <si>
    <t>키보드 선반</t>
  </si>
  <si>
    <t>VCR-14/20TK-B</t>
  </si>
  <si>
    <t>15pin 분기 패널</t>
  </si>
  <si>
    <t>15Pin분기 패널, 케이블</t>
  </si>
  <si>
    <t>보국테크</t>
  </si>
  <si>
    <t>VISC</t>
  </si>
  <si>
    <t>TIME CODE Cable</t>
  </si>
  <si>
    <t>RCA-BNC 5M</t>
  </si>
  <si>
    <t>투명 커버</t>
  </si>
  <si>
    <t>DBX260, 8R용 1U 투명커버</t>
  </si>
  <si>
    <t>Rack용 볼트</t>
  </si>
  <si>
    <t>Rack용 볼트 여분</t>
  </si>
  <si>
    <t>봉</t>
  </si>
  <si>
    <t>VISIC Cinema Controller</t>
  </si>
  <si>
    <t>Server _ VCC-1000</t>
  </si>
  <si>
    <t>Cable</t>
  </si>
  <si>
    <t>Rack용 Cable</t>
  </si>
  <si>
    <t>XLR M - 55P MO 1M</t>
  </si>
  <si>
    <t>XLR M - XLR F 1M</t>
  </si>
  <si>
    <t>XLR M - XLR F 0.5M</t>
  </si>
  <si>
    <t>25P M - XLR Mx3 4M</t>
  </si>
  <si>
    <t>25PIN M - 25PIN Fx2 0.5M</t>
  </si>
  <si>
    <t>판넬제작</t>
  </si>
  <si>
    <t>RCA - BNC 5M</t>
  </si>
  <si>
    <t>15Pin분기Panel-8R</t>
  </si>
  <si>
    <t>15Pin-Single 55 ST (3Line)</t>
  </si>
  <si>
    <t>8R-DBX260</t>
  </si>
  <si>
    <t>Single 55ST- Cannon M</t>
  </si>
  <si>
    <t>DBX260-AMP</t>
  </si>
  <si>
    <t>Cannon F- Cannon M</t>
  </si>
  <si>
    <t>유동품</t>
  </si>
  <si>
    <t>Power Amplifier_InterM</t>
  </si>
  <si>
    <t>L2400</t>
  </si>
  <si>
    <t>L3000</t>
  </si>
  <si>
    <t>스피콘_뉴트릭</t>
  </si>
  <si>
    <t>NL4FX</t>
  </si>
  <si>
    <t>AMP-AMP</t>
  </si>
  <si>
    <t>Canon(F) - Canon(M)</t>
  </si>
  <si>
    <t>벨크로</t>
  </si>
  <si>
    <t>Dual Lock 1"*50YD</t>
  </si>
  <si>
    <t>와이에스씨</t>
  </si>
  <si>
    <t>1구 환기 판넬(B)</t>
  </si>
  <si>
    <t>3구 공판</t>
  </si>
  <si>
    <t>TD,고정품,유동품</t>
  </si>
  <si>
    <t>Harness</t>
  </si>
  <si>
    <t>CTC Harness 2석</t>
  </si>
  <si>
    <t>EA</t>
  </si>
  <si>
    <t>CTC Harness 3석</t>
  </si>
  <si>
    <t>수량확인</t>
  </si>
  <si>
    <t>CTC Harness 4석</t>
  </si>
  <si>
    <t>CTC Harness 5석</t>
  </si>
  <si>
    <t>CTC Harness 6석</t>
  </si>
  <si>
    <t>CTC Harness 8석</t>
  </si>
  <si>
    <t>CTC Harness 10석</t>
  </si>
  <si>
    <t>CTC Harness 12석</t>
  </si>
  <si>
    <t>CTC Harness 14석</t>
  </si>
  <si>
    <t>Leg Harness</t>
  </si>
  <si>
    <t>Set</t>
  </si>
  <si>
    <t>TD Switch Harness</t>
  </si>
  <si>
    <t>GTG Harness (2.5m)</t>
  </si>
  <si>
    <t>GTG Harness (2.0m)</t>
  </si>
  <si>
    <t>GTG Harness (2m+2m)</t>
  </si>
  <si>
    <t>GTG Harness (550m/m)-메인선연결용</t>
  </si>
  <si>
    <t>Switch</t>
  </si>
  <si>
    <t>JRC-2101H</t>
  </si>
  <si>
    <t>오르다</t>
  </si>
  <si>
    <t>Controller</t>
  </si>
  <si>
    <t>Cinema</t>
  </si>
  <si>
    <t>Controller 개발비</t>
  </si>
  <si>
    <t>VCC</t>
  </si>
  <si>
    <t>Mr.Mitsuo</t>
  </si>
  <si>
    <t>2,500,000*환율14/50회</t>
  </si>
  <si>
    <t>기술지원료</t>
  </si>
  <si>
    <t>100,000*환율14/사이트당</t>
  </si>
  <si>
    <t>Soft사용료</t>
  </si>
  <si>
    <t>50,000*환율14/50회까지</t>
  </si>
  <si>
    <t>설치</t>
  </si>
  <si>
    <t>잡자재</t>
  </si>
  <si>
    <t>Reg Harness 묶음용</t>
  </si>
  <si>
    <r>
      <t>케이블 타이150</t>
    </r>
    <r>
      <rPr>
        <sz val="9"/>
        <color indexed="8"/>
        <rFont val="맑은 고딕"/>
        <family val="3"/>
      </rPr>
      <t>㎜</t>
    </r>
  </si>
  <si>
    <t>앤드캡(3.5s)</t>
  </si>
  <si>
    <t>케인케이블 연결용</t>
  </si>
  <si>
    <t>APO10-095</t>
  </si>
  <si>
    <t>VCTF 2.5SQ x 3C, 앤드캡외</t>
  </si>
  <si>
    <t>VCTF 1.5 x 4C, 4구 노출 콘센트 외</t>
  </si>
  <si>
    <t>케이블타이 300, 140, 드릴용 비트</t>
  </si>
  <si>
    <t>APO10-097</t>
  </si>
  <si>
    <t>비닐봉지, 절연테이프 5EA</t>
  </si>
  <si>
    <t>APO10-067</t>
  </si>
  <si>
    <t>볼트(M4x16),너트(M4)</t>
  </si>
  <si>
    <t>성림볼트</t>
  </si>
  <si>
    <t>키보드 마우스</t>
  </si>
  <si>
    <t>기타</t>
  </si>
  <si>
    <t>25Pin연장케이블,꺽임전동팁,주먹드라이버,휨전동팁,케이블타이</t>
  </si>
  <si>
    <t>공구손비+일회성 비용 잡비</t>
  </si>
  <si>
    <t>설치비</t>
  </si>
  <si>
    <t>자재,인건,공과잡비</t>
  </si>
  <si>
    <t>식</t>
  </si>
  <si>
    <t>진명연합전설</t>
  </si>
  <si>
    <t>AOD10-070</t>
  </si>
  <si>
    <t>출장비</t>
  </si>
  <si>
    <t>윤의한,김K,송K,김S</t>
  </si>
  <si>
    <t>아쿠브</t>
  </si>
  <si>
    <t>김과장출장비,김민수알바비</t>
  </si>
  <si>
    <t>전기공사</t>
  </si>
  <si>
    <t>우림전기</t>
  </si>
  <si>
    <t>5개사이트 금액</t>
  </si>
  <si>
    <t>TD 제작</t>
  </si>
  <si>
    <t>하나시스템</t>
  </si>
  <si>
    <t>Td제작수량확인</t>
  </si>
  <si>
    <t>운송비</t>
  </si>
  <si>
    <t>TD 운송비</t>
  </si>
  <si>
    <t>BOX</t>
  </si>
  <si>
    <t>경동택배</t>
  </si>
  <si>
    <r>
      <t>하나</t>
    </r>
    <r>
      <rPr>
        <sz val="9"/>
        <color indexed="8"/>
        <rFont val="맑은 고딕"/>
        <family val="3"/>
      </rPr>
      <t>→삼광 착불</t>
    </r>
  </si>
  <si>
    <t>고흥 지게차</t>
  </si>
  <si>
    <t>왠 고흥지게자</t>
  </si>
  <si>
    <t>의자포함가격</t>
  </si>
  <si>
    <t>의자제외가격</t>
  </si>
  <si>
    <t>합계</t>
  </si>
  <si>
    <t>이익</t>
  </si>
  <si>
    <t>이익율</t>
  </si>
  <si>
    <t>개발비</t>
  </si>
  <si>
    <t>ea</t>
  </si>
  <si>
    <r>
      <t xml:space="preserve">Total Material Cost </t>
    </r>
    <r>
      <rPr>
        <b/>
        <sz val="12"/>
        <color indexed="8"/>
        <rFont val="맑은 고딕"/>
        <family val="3"/>
      </rPr>
      <t>①</t>
    </r>
  </si>
  <si>
    <t>제조원가+일반관리비+출하판매관리비+기업이윤
5+7+8+9</t>
  </si>
  <si>
    <t>설치포함 제조원가+일반관리비+출하판매관리비+기업이윤
6+11+12+13</t>
  </si>
  <si>
    <t>일</t>
  </si>
  <si>
    <t>일</t>
  </si>
  <si>
    <t>연구개발비</t>
  </si>
  <si>
    <t>Sub Total</t>
  </si>
  <si>
    <t>국내</t>
  </si>
  <si>
    <t>해외</t>
  </si>
  <si>
    <t>Ex. Rate / Currency :</t>
  </si>
  <si>
    <t>인건비</t>
  </si>
  <si>
    <t>Labor</t>
  </si>
  <si>
    <t>USD</t>
  </si>
  <si>
    <t>수량</t>
  </si>
  <si>
    <t xml:space="preserve">Batch 수 </t>
  </si>
  <si>
    <t>ea</t>
  </si>
  <si>
    <t>개당단가</t>
  </si>
  <si>
    <t>전자</t>
  </si>
  <si>
    <t>기구</t>
  </si>
  <si>
    <t>공급사</t>
  </si>
  <si>
    <t>조립비</t>
  </si>
  <si>
    <t>SMT</t>
  </si>
  <si>
    <t>노무비</t>
  </si>
  <si>
    <t>운영비</t>
  </si>
  <si>
    <t>기타 인건비</t>
  </si>
  <si>
    <r>
      <t xml:space="preserve">Total Labor </t>
    </r>
    <r>
      <rPr>
        <b/>
        <sz val="12"/>
        <color indexed="8"/>
        <rFont val="맑은 고딕"/>
        <family val="3"/>
      </rPr>
      <t>③</t>
    </r>
  </si>
  <si>
    <t>Labor</t>
  </si>
  <si>
    <t>기타 잡자재</t>
  </si>
  <si>
    <t>HW</t>
  </si>
  <si>
    <t>잡</t>
  </si>
  <si>
    <t>잡1</t>
  </si>
  <si>
    <t>잡2</t>
  </si>
  <si>
    <t xml:space="preserve">금형 </t>
  </si>
  <si>
    <t>금형개발/제작</t>
  </si>
  <si>
    <t>N.Thing</t>
  </si>
  <si>
    <t>인건비</t>
  </si>
  <si>
    <t>개당</t>
  </si>
  <si>
    <t>1+2+3</t>
  </si>
  <si>
    <t>금형개발비</t>
  </si>
  <si>
    <t>인건비포함</t>
  </si>
  <si>
    <t>Intops</t>
  </si>
  <si>
    <t>Planty Total</t>
  </si>
  <si>
    <t>개수</t>
  </si>
  <si>
    <t>Micro B to USB / 5-pin / 1A / White / 1~1.5m</t>
  </si>
  <si>
    <t>USB Cable</t>
  </si>
  <si>
    <t>개당개수</t>
  </si>
  <si>
    <t>Main 사출</t>
  </si>
  <si>
    <t>Package</t>
  </si>
  <si>
    <t>Mold Total</t>
  </si>
  <si>
    <t>서버비</t>
  </si>
  <si>
    <t>중</t>
  </si>
  <si>
    <t>하</t>
  </si>
  <si>
    <t>상</t>
  </si>
  <si>
    <t>OP</t>
  </si>
  <si>
    <t>SW</t>
  </si>
  <si>
    <t>DE</t>
  </si>
  <si>
    <t>Crew</t>
  </si>
  <si>
    <t>Intern</t>
  </si>
  <si>
    <t>작업</t>
  </si>
  <si>
    <t>참여율</t>
  </si>
  <si>
    <t>전담</t>
  </si>
  <si>
    <t>참여</t>
  </si>
  <si>
    <t>VP</t>
  </si>
  <si>
    <t>합</t>
  </si>
  <si>
    <t>인원</t>
  </si>
  <si>
    <t>월별노무비</t>
  </si>
  <si>
    <t>조립/포장</t>
  </si>
  <si>
    <t>ea</t>
  </si>
  <si>
    <t>딜러가</t>
  </si>
  <si>
    <t>MSRP</t>
  </si>
  <si>
    <t>도급관리비</t>
  </si>
  <si>
    <t>접시머리 나사 M3*L8 (피스)</t>
  </si>
  <si>
    <t>접시머리 나사 M3*L16(피스)</t>
  </si>
  <si>
    <t>냄비머리나사 M3*L6 (2종)</t>
  </si>
  <si>
    <t>SUS304</t>
  </si>
  <si>
    <t>Pump Tube</t>
  </si>
  <si>
    <t>바코드 스티커</t>
  </si>
  <si>
    <t>바코드 잉크지</t>
  </si>
  <si>
    <t>왁스레진리본 B-128 40mm x 300M</t>
  </si>
  <si>
    <t xml:space="preserve">유포라벨 30 x 15 x 2800매 </t>
  </si>
  <si>
    <t>2016/01/28</t>
  </si>
  <si>
    <t>수정사항</t>
  </si>
  <si>
    <t>금형수정 비용, Gasket 수정 비용, Gasket 양산 비용 반영</t>
  </si>
  <si>
    <t>바코드 스티커, 잉크지, QC봉인 스티커</t>
  </si>
  <si>
    <t>2016/01/25</t>
  </si>
  <si>
    <t>Pump Tube 비용 반영</t>
  </si>
  <si>
    <t>접시머리 나사 금액 비용 반영</t>
  </si>
  <si>
    <t>SW개발 인원 수 줄여 인건비 반영분 축소</t>
  </si>
  <si>
    <t>개당 실질 비용</t>
  </si>
  <si>
    <t>개당 판매가격</t>
  </si>
  <si>
    <t>공급가</t>
  </si>
  <si>
    <t>2016/01/29</t>
  </si>
  <si>
    <t>인건비 -&gt; 노무비 Tab으로 빼서 별도 계산</t>
  </si>
  <si>
    <t>전자부품 BOM 변경 부분 반영</t>
  </si>
  <si>
    <t>1000개 835원 / 2500개 720원 / 10000개 635원</t>
  </si>
  <si>
    <t>1000개 2330원 / 2500개 2150원 / 10000개 1835원</t>
  </si>
  <si>
    <t>1000개 920원 / 2500개 805원 / 10000개 695원</t>
  </si>
  <si>
    <t>2016/02/02</t>
  </si>
  <si>
    <t>PCB 비용 변경 - 1000 / 2500 / 10000대 기준으로 비고에 작성</t>
  </si>
  <si>
    <t>package box</t>
  </si>
  <si>
    <t>2016/02/04</t>
  </si>
  <si>
    <t xml:space="preserve">Package 비용 변경 2000 -&gt; 1500, </t>
  </si>
  <si>
    <t>Rev 17 반영</t>
  </si>
  <si>
    <t>1,000대</t>
  </si>
  <si>
    <t>공급 가능가</t>
  </si>
  <si>
    <t>마진율</t>
  </si>
  <si>
    <t>Kick(1대)</t>
  </si>
  <si>
    <t>이후(1대)</t>
  </si>
  <si>
    <t>목표 판매수 당 MSRP</t>
  </si>
  <si>
    <t>목표 판매수</t>
  </si>
  <si>
    <t>총매출</t>
  </si>
  <si>
    <t>개 당 공급가</t>
  </si>
  <si>
    <t>영업이익</t>
  </si>
  <si>
    <t>기타 인증 비용</t>
  </si>
  <si>
    <t>전파인증</t>
  </si>
  <si>
    <t>인증비용</t>
  </si>
  <si>
    <t>KC</t>
  </si>
  <si>
    <t>FCC</t>
  </si>
  <si>
    <t>전파인증비</t>
  </si>
  <si>
    <t>인증비</t>
  </si>
  <si>
    <t>1+2+3+4</t>
  </si>
  <si>
    <t>Total 인증 비용</t>
  </si>
  <si>
    <t>*경영/영업/마케팅의 경우 간접비로서 일반관리비/판매관리비 처리</t>
  </si>
  <si>
    <t>원가</t>
  </si>
  <si>
    <t>판관포함
원가</t>
  </si>
  <si>
    <t>판관비</t>
  </si>
  <si>
    <t>Rev 18 반영(SF 도장비용 반영)</t>
  </si>
  <si>
    <t>SF도장비용 2,762원 포함</t>
  </si>
  <si>
    <t>SF도장비용 1,656원 포함</t>
  </si>
  <si>
    <t>SF도장비용 764원 포함</t>
  </si>
  <si>
    <t>SF도장비용 1,726원, 레이저 비용 약 200원</t>
  </si>
  <si>
    <t>상측면 부식처리, 레이저 비용 약 200원</t>
  </si>
  <si>
    <t>총매출이익</t>
  </si>
  <si>
    <t>고정비용</t>
  </si>
  <si>
    <t>변동비용</t>
  </si>
  <si>
    <t>비용</t>
  </si>
  <si>
    <t>마진율별 가능 MSRP</t>
  </si>
  <si>
    <t>BEP</t>
  </si>
  <si>
    <t>영업
이익</t>
  </si>
  <si>
    <t>딜러</t>
  </si>
  <si>
    <t>CE(EMC, R&amp;TTE)</t>
  </si>
  <si>
    <t>ISO((9001 + 14001)</t>
  </si>
  <si>
    <t>Rev 19 반영 (전자부품 일부 비용 변경)</t>
  </si>
  <si>
    <t>제품1</t>
  </si>
  <si>
    <t>제품 HW</t>
  </si>
  <si>
    <t>단가적용일 : 2018</t>
  </si>
  <si>
    <t>제품1 기타 잡자재</t>
  </si>
  <si>
    <t>제품1</t>
  </si>
  <si>
    <r>
      <t xml:space="preserve">Mold Total </t>
    </r>
    <r>
      <rPr>
        <b/>
        <sz val="12"/>
        <color indexed="8"/>
        <rFont val="맑은 고딕"/>
        <family val="3"/>
      </rPr>
      <t>②</t>
    </r>
  </si>
  <si>
    <t>TELEC</t>
  </si>
  <si>
    <r>
      <t>T</t>
    </r>
    <r>
      <rPr>
        <sz val="10"/>
        <color indexed="8"/>
        <rFont val="맑은 고딕"/>
        <family val="3"/>
      </rPr>
      <t>ÜV</t>
    </r>
  </si>
  <si>
    <t>UL</t>
  </si>
  <si>
    <t>CCC</t>
  </si>
  <si>
    <t>사업관련 개발/영업/경영 업무 소요인건비(M/H 또는 M/D)</t>
  </si>
  <si>
    <t>업체1</t>
  </si>
  <si>
    <t>원가계산표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</si>
</sst>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 "/>
    <numFmt numFmtId="178" formatCode="\(#,##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&quot;₩&quot;* #,##0_-;&quot;₩&quot;&quot;₩&quot;\!\!\-&quot;₩&quot;* #,##0_-;_-&quot;₩&quot;* &quot;-&quot;_-;_-@_-"/>
    <numFmt numFmtId="182" formatCode="_-* #,##0_-;&quot;₩&quot;&quot;₩&quot;\!\!\-* #,##0_-;_-* &quot;-&quot;_-;_-@_-"/>
    <numFmt numFmtId="183" formatCode="_-&quot;₩&quot;* #,##0.00_-;&quot;₩&quot;&quot;₩&quot;\!\!\-&quot;₩&quot;* #,##0.00_-;_-&quot;₩&quot;* &quot;-&quot;??_-;_-@_-"/>
    <numFmt numFmtId="184" formatCode="_-* #,##0.00_-;&quot;₩&quot;&quot;₩&quot;\!\!\-* #,##0.00_-;_-* &quot;-&quot;??_-;_-@_-"/>
    <numFmt numFmtId="185" formatCode="_ * #,##0_ ;_ * &quot;₩&quot;&quot;₩&quot;\!\!\-#,##0_ ;_ * &quot;-&quot;_ ;_ @_ "/>
    <numFmt numFmtId="186" formatCode="_ * #,##0.00_ ;_ * &quot;₩&quot;&quot;₩&quot;\!\!\-#,##0.00_ ;_ * &quot;-&quot;??_ ;_ @_ "/>
    <numFmt numFmtId="187" formatCode="_ * #,##0_ ;_ * \-#,##0_ ;_ * &quot;-&quot;_ ;_ @_ "/>
    <numFmt numFmtId="188" formatCode="_ * #,##0.00_ ;_ * \-#,##0.00_ ;_ * &quot;-&quot;??_ ;_ @_ "/>
    <numFmt numFmtId="189" formatCode="mm&quot;월&quot;\ dd&quot;일&quot;"/>
    <numFmt numFmtId="190" formatCode="[$-412]yyyy&quot;년&quot;\ m&quot;월&quot;\ d&quot;일&quot;\ dddd"/>
    <numFmt numFmtId="191" formatCode="yyyy&quot;-&quot;m"/>
    <numFmt numFmtId="192" formatCode="_-* #,##0.0_-;\-* #,##0.0_-;_-* &quot;-&quot;?_-;_-@_-"/>
    <numFmt numFmtId="193" formatCode="General&quot;%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_-;\-* #,##0.00_-;_-* &quot;-&quot;_-;_-@_-"/>
    <numFmt numFmtId="199" formatCode="0.0%"/>
    <numFmt numFmtId="200" formatCode="[$-412]AM/PM\ h:mm:ss"/>
    <numFmt numFmtId="201" formatCode="0_);[Red]\(0\)"/>
    <numFmt numFmtId="202" formatCode="_-* #,##0_-;\-* #,##0_-;_-* &quot;-&quot;?_-;_-@_-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#,##0.0_);[Red]\(#,##0.0\)"/>
    <numFmt numFmtId="207" formatCode="#,##0.00_);[Red]\(#,##0.00\)"/>
    <numFmt numFmtId="208" formatCode="#,##0.0_ "/>
    <numFmt numFmtId="209" formatCode="#,##0.00_ "/>
    <numFmt numFmtId="210" formatCode="#,##0.000_ "/>
    <numFmt numFmtId="211" formatCode="0.0"/>
    <numFmt numFmtId="212" formatCode="0.0_);[Red]\(0.0\)"/>
    <numFmt numFmtId="213" formatCode="0.00_);[Red]\(0.00\)"/>
    <numFmt numFmtId="214" formatCode="_-[$€-2]\ * #,##0.00_-;\-[$€-2]\ * #,##0.00_-;_-[$€-2]\ * &quot;-&quot;??_-;_-@_-"/>
    <numFmt numFmtId="215" formatCode="0.000000"/>
    <numFmt numFmtId="216" formatCode="0.00000"/>
    <numFmt numFmtId="217" formatCode="0.0000"/>
    <numFmt numFmtId="218" formatCode="0.000"/>
    <numFmt numFmtId="219" formatCode="0_ "/>
    <numFmt numFmtId="220" formatCode="_-* #,##0.000_-;\-* #,##0.000_-;_-* &quot;-&quot;??_-;_-@_-"/>
    <numFmt numFmtId="221" formatCode="_-* #,##0.00\ [$€-407]_-;\-* #,##0.00\ [$€-407]_-;_-* &quot;-&quot;??\ [$€-407]_-;_-@_-"/>
    <numFmt numFmtId="222" formatCode="&quot;₩&quot;#,##0_);[Red]\(&quot;₩&quot;#,##0\)"/>
    <numFmt numFmtId="223" formatCode="_-[$$-409]* #,##0.00_ ;_-[$$-409]* \-#,##0.00\ ;_-[$$-409]* &quot;-&quot;??_ ;_-@_ "/>
    <numFmt numFmtId="224" formatCode="#,##0.000_);[Red]\(#,##0.000\)"/>
    <numFmt numFmtId="225" formatCode="#,##0.0000_);[Red]\(#,##0.0000\)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#,##0.00000_);[Red]\(#,##0.00000\)"/>
    <numFmt numFmtId="231" formatCode="#,##0.000000_);[Red]\(#,##0.000000\)"/>
    <numFmt numFmtId="232" formatCode="_-[$₩-412]* #,##0.00_-;\-[$₩-412]* #,##0.00_-;_-[$₩-412]* &quot;-&quot;??_-;_-@_-"/>
    <numFmt numFmtId="233" formatCode="0.00_ "/>
    <numFmt numFmtId="234" formatCode="0.0000000000000_ "/>
    <numFmt numFmtId="235" formatCode="#,##0.0000_ "/>
    <numFmt numFmtId="236" formatCode="#,##0.00000_ "/>
    <numFmt numFmtId="237" formatCode="_-[$$-409]* #,##0.0_ ;_-[$$-409]* \-#,##0.0\ ;_-[$$-409]* &quot;-&quot;??_ ;_-@_ "/>
    <numFmt numFmtId="238" formatCode="_-[$$-409]* #,##0_ ;_-[$$-409]* \-#,##0\ ;_-[$$-409]* &quot;-&quot;??_ ;_-@_ "/>
    <numFmt numFmtId="239" formatCode="_-[$$-409]* #,##0.000_ ;_-[$$-409]* \-#,##0.000\ ;_-[$$-409]* &quot;-&quot;??_ ;_-@_ "/>
  </numFmts>
  <fonts count="96">
    <font>
      <sz val="11"/>
      <name val="돋움체"/>
      <family val="3"/>
    </font>
    <font>
      <sz val="8"/>
      <name val="돋움체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12"/>
      <name val="뼻뮝"/>
      <family val="1"/>
    </font>
    <font>
      <sz val="12"/>
      <name val="¹ÙÅÁÃ¼"/>
      <family val="3"/>
    </font>
    <font>
      <sz val="11"/>
      <name val="µ¸¿ò"/>
      <family val="3"/>
    </font>
    <font>
      <sz val="10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name val="맑은 고딕"/>
      <family val="3"/>
    </font>
    <font>
      <b/>
      <sz val="16"/>
      <name val="맑은 고딕"/>
      <family val="3"/>
    </font>
    <font>
      <sz val="8"/>
      <name val="맑은 고딕"/>
      <family val="3"/>
    </font>
    <font>
      <sz val="9"/>
      <name val="맑은 고딕"/>
      <family val="3"/>
    </font>
    <font>
      <sz val="11"/>
      <name val="돋움"/>
      <family val="3"/>
    </font>
    <font>
      <sz val="9"/>
      <color indexed="8"/>
      <name val="맑은 고딕"/>
      <family val="3"/>
    </font>
    <font>
      <sz val="11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name val="ＭＳ Ｐゴシック"/>
      <family val="2"/>
    </font>
    <font>
      <sz val="10"/>
      <name val="Arial"/>
      <family val="2"/>
    </font>
    <font>
      <b/>
      <sz val="11"/>
      <name val="돋움체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30"/>
      <name val="맑은 고딕"/>
      <family val="3"/>
    </font>
    <font>
      <sz val="9"/>
      <color indexed="10"/>
      <name val="맑은 고딕"/>
      <family val="3"/>
    </font>
    <font>
      <b/>
      <sz val="9"/>
      <color indexed="8"/>
      <name val="맑은 고딕"/>
      <family val="3"/>
    </font>
    <font>
      <sz val="9"/>
      <color indexed="9"/>
      <name val="맑은 고딕"/>
      <family val="3"/>
    </font>
    <font>
      <b/>
      <sz val="14"/>
      <color indexed="53"/>
      <name val="맑은 고딕"/>
      <family val="3"/>
    </font>
    <font>
      <sz val="14"/>
      <color indexed="8"/>
      <name val="맑은 고딕"/>
      <family val="3"/>
    </font>
    <font>
      <b/>
      <sz val="12"/>
      <color indexed="10"/>
      <name val="맑은 고딕"/>
      <family val="3"/>
    </font>
    <font>
      <b/>
      <sz val="9"/>
      <name val="맑은 고딕"/>
      <family val="3"/>
    </font>
    <font>
      <b/>
      <sz val="10"/>
      <color indexed="8"/>
      <name val="맑은 고딕"/>
      <family val="3"/>
    </font>
    <font>
      <b/>
      <sz val="11"/>
      <color indexed="9"/>
      <name val="돋움체"/>
      <family val="3"/>
    </font>
    <font>
      <b/>
      <sz val="11"/>
      <color indexed="8"/>
      <name val="돋움체"/>
      <family val="3"/>
    </font>
    <font>
      <b/>
      <u val="single"/>
      <sz val="14"/>
      <color indexed="53"/>
      <name val="맑은 고딕"/>
      <family val="3"/>
    </font>
    <font>
      <sz val="10"/>
      <color indexed="63"/>
      <name val="맑은 고딕"/>
      <family val="3"/>
    </font>
    <font>
      <sz val="9"/>
      <color indexed="17"/>
      <name val="맑은 고딕"/>
      <family val="3"/>
    </font>
    <font>
      <b/>
      <sz val="12"/>
      <color indexed="9"/>
      <name val="맑은 고딕"/>
      <family val="3"/>
    </font>
    <font>
      <sz val="9"/>
      <name val="Malgun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0070C0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sz val="9"/>
      <color theme="1"/>
      <name val="맑은 고딕"/>
      <family val="3"/>
    </font>
    <font>
      <sz val="9"/>
      <color theme="0"/>
      <name val="Calibri"/>
      <family val="3"/>
    </font>
    <font>
      <b/>
      <sz val="10"/>
      <name val="Calibri"/>
      <family val="3"/>
    </font>
    <font>
      <b/>
      <sz val="14"/>
      <color theme="9" tint="-0.24997000396251678"/>
      <name val="Calibri"/>
      <family val="3"/>
    </font>
    <font>
      <sz val="14"/>
      <color theme="1"/>
      <name val="Calibri"/>
      <family val="3"/>
    </font>
    <font>
      <b/>
      <sz val="12"/>
      <name val="Calibri"/>
      <family val="3"/>
    </font>
    <font>
      <b/>
      <sz val="12"/>
      <color rgb="FFFF0000"/>
      <name val="Calibri"/>
      <family val="3"/>
    </font>
    <font>
      <b/>
      <sz val="9"/>
      <name val="Calibri"/>
      <family val="3"/>
    </font>
    <font>
      <b/>
      <sz val="10"/>
      <color theme="1"/>
      <name val="Calibri"/>
      <family val="3"/>
    </font>
    <font>
      <b/>
      <sz val="11"/>
      <color theme="0"/>
      <name val="돋움체"/>
      <family val="3"/>
    </font>
    <font>
      <b/>
      <sz val="11"/>
      <color theme="1"/>
      <name val="돋움체"/>
      <family val="3"/>
    </font>
    <font>
      <b/>
      <u val="single"/>
      <sz val="14"/>
      <color theme="9" tint="-0.24997000396251678"/>
      <name val="Calibri"/>
      <family val="3"/>
    </font>
    <font>
      <sz val="10"/>
      <name val="Cambria"/>
      <family val="3"/>
    </font>
    <font>
      <sz val="10"/>
      <color rgb="FF2C2D30"/>
      <name val="Cambria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0"/>
      <name val="Calibri"/>
      <family val="3"/>
    </font>
    <font>
      <sz val="9"/>
      <color rgb="FF00B050"/>
      <name val="Calibri"/>
      <family val="3"/>
    </font>
    <font>
      <b/>
      <sz val="12"/>
      <color theme="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C00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CCCCCC"/>
      </left>
      <right style="medium">
        <color rgb="FFCCCCCC"/>
      </right>
      <top style="hair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hair"/>
      <bottom style="hair"/>
    </border>
    <border>
      <left style="medium">
        <color rgb="FFCCCCCC"/>
      </left>
      <right style="medium">
        <color rgb="FFCCCCCC"/>
      </right>
      <top style="hair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>
      <alignment/>
      <protection/>
    </xf>
    <xf numFmtId="41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55" fillId="0" borderId="0">
      <alignment vertical="center"/>
      <protection/>
    </xf>
    <xf numFmtId="9" fontId="55" fillId="0" borderId="0" applyFon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0" fillId="29" borderId="0" applyNumberFormat="0" applyBorder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5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</cellStyleXfs>
  <cellXfs count="950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1" fontId="7" fillId="0" borderId="14" xfId="60" applyFont="1" applyBorder="1" applyAlignment="1">
      <alignment vertical="center" wrapText="1"/>
    </xf>
    <xf numFmtId="41" fontId="7" fillId="0" borderId="15" xfId="6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41" fontId="7" fillId="0" borderId="17" xfId="6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41" fontId="7" fillId="0" borderId="23" xfId="6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2" fillId="0" borderId="0" xfId="40" applyFont="1" applyAlignment="1">
      <alignment vertical="center"/>
      <protection/>
    </xf>
    <xf numFmtId="0" fontId="72" fillId="0" borderId="0" xfId="40" applyFont="1" applyFill="1" applyAlignment="1">
      <alignment vertical="center"/>
      <protection/>
    </xf>
    <xf numFmtId="0" fontId="73" fillId="0" borderId="0" xfId="40" applyFont="1">
      <alignment vertical="center"/>
      <protection/>
    </xf>
    <xf numFmtId="177" fontId="73" fillId="0" borderId="0" xfId="40" applyNumberFormat="1" applyFont="1">
      <alignment vertical="center"/>
      <protection/>
    </xf>
    <xf numFmtId="205" fontId="73" fillId="0" borderId="0" xfId="40" applyNumberFormat="1" applyFont="1">
      <alignment vertical="center"/>
      <protection/>
    </xf>
    <xf numFmtId="0" fontId="73" fillId="0" borderId="27" xfId="40" applyFont="1" applyBorder="1" applyAlignment="1">
      <alignment horizontal="center" vertical="center"/>
      <protection/>
    </xf>
    <xf numFmtId="0" fontId="73" fillId="0" borderId="28" xfId="40" applyFont="1" applyBorder="1" applyAlignment="1">
      <alignment horizontal="center" vertical="center"/>
      <protection/>
    </xf>
    <xf numFmtId="0" fontId="73" fillId="0" borderId="28" xfId="40" applyFont="1" applyFill="1" applyBorder="1" applyAlignment="1">
      <alignment horizontal="center" vertical="center"/>
      <protection/>
    </xf>
    <xf numFmtId="0" fontId="73" fillId="0" borderId="29" xfId="40" applyFont="1" applyBorder="1" applyAlignment="1">
      <alignment horizontal="center" vertical="center"/>
      <protection/>
    </xf>
    <xf numFmtId="177" fontId="73" fillId="0" borderId="29" xfId="40" applyNumberFormat="1" applyFont="1" applyBorder="1" applyAlignment="1">
      <alignment horizontal="center" vertical="center"/>
      <protection/>
    </xf>
    <xf numFmtId="205" fontId="73" fillId="0" borderId="28" xfId="40" applyNumberFormat="1" applyFont="1" applyBorder="1" applyAlignment="1">
      <alignment horizontal="center" vertical="center"/>
      <protection/>
    </xf>
    <xf numFmtId="177" fontId="73" fillId="0" borderId="28" xfId="40" applyNumberFormat="1" applyFont="1" applyBorder="1" applyAlignment="1">
      <alignment horizontal="center" vertical="center"/>
      <protection/>
    </xf>
    <xf numFmtId="0" fontId="73" fillId="0" borderId="0" xfId="40" applyFont="1" applyAlignment="1">
      <alignment horizontal="center" vertical="center"/>
      <protection/>
    </xf>
    <xf numFmtId="0" fontId="74" fillId="0" borderId="30" xfId="40" applyFont="1" applyBorder="1">
      <alignment vertical="center"/>
      <protection/>
    </xf>
    <xf numFmtId="0" fontId="74" fillId="0" borderId="31" xfId="40" applyFont="1" applyBorder="1">
      <alignment vertical="center"/>
      <protection/>
    </xf>
    <xf numFmtId="0" fontId="74" fillId="0" borderId="31" xfId="40" applyFont="1" applyFill="1" applyBorder="1">
      <alignment vertical="center"/>
      <protection/>
    </xf>
    <xf numFmtId="0" fontId="74" fillId="0" borderId="32" xfId="40" applyFont="1" applyBorder="1">
      <alignment vertical="center"/>
      <protection/>
    </xf>
    <xf numFmtId="0" fontId="74" fillId="0" borderId="32" xfId="40" applyNumberFormat="1" applyFont="1" applyBorder="1">
      <alignment vertical="center"/>
      <protection/>
    </xf>
    <xf numFmtId="205" fontId="74" fillId="0" borderId="31" xfId="40" applyNumberFormat="1" applyFont="1" applyBorder="1">
      <alignment vertical="center"/>
      <protection/>
    </xf>
    <xf numFmtId="177" fontId="74" fillId="0" borderId="31" xfId="40" applyNumberFormat="1" applyFont="1" applyBorder="1">
      <alignment vertical="center"/>
      <protection/>
    </xf>
    <xf numFmtId="0" fontId="74" fillId="0" borderId="0" xfId="40" applyFont="1">
      <alignment vertical="center"/>
      <protection/>
    </xf>
    <xf numFmtId="0" fontId="73" fillId="0" borderId="30" xfId="40" applyFont="1" applyBorder="1">
      <alignment vertical="center"/>
      <protection/>
    </xf>
    <xf numFmtId="0" fontId="73" fillId="0" borderId="31" xfId="40" applyFont="1" applyBorder="1">
      <alignment vertical="center"/>
      <protection/>
    </xf>
    <xf numFmtId="0" fontId="75" fillId="0" borderId="31" xfId="40" applyFont="1" applyFill="1" applyBorder="1">
      <alignment vertical="center"/>
      <protection/>
    </xf>
    <xf numFmtId="0" fontId="73" fillId="0" borderId="32" xfId="40" applyFont="1" applyBorder="1">
      <alignment vertical="center"/>
      <protection/>
    </xf>
    <xf numFmtId="205" fontId="73" fillId="0" borderId="31" xfId="40" applyNumberFormat="1" applyFont="1" applyBorder="1">
      <alignment vertical="center"/>
      <protection/>
    </xf>
    <xf numFmtId="177" fontId="73" fillId="0" borderId="31" xfId="40" applyNumberFormat="1" applyFont="1" applyBorder="1">
      <alignment vertical="center"/>
      <protection/>
    </xf>
    <xf numFmtId="177" fontId="73" fillId="0" borderId="32" xfId="40" applyNumberFormat="1" applyFont="1" applyBorder="1">
      <alignment vertical="center"/>
      <protection/>
    </xf>
    <xf numFmtId="0" fontId="76" fillId="10" borderId="30" xfId="40" applyFont="1" applyFill="1" applyBorder="1" applyAlignment="1">
      <alignment vertical="center"/>
      <protection/>
    </xf>
    <xf numFmtId="0" fontId="76" fillId="10" borderId="31" xfId="40" applyFont="1" applyFill="1" applyBorder="1" applyAlignment="1">
      <alignment vertical="center"/>
      <protection/>
    </xf>
    <xf numFmtId="0" fontId="76" fillId="10" borderId="32" xfId="40" applyFont="1" applyFill="1" applyBorder="1" applyAlignment="1">
      <alignment vertical="center"/>
      <protection/>
    </xf>
    <xf numFmtId="177" fontId="76" fillId="10" borderId="32" xfId="40" applyNumberFormat="1" applyFont="1" applyFill="1" applyBorder="1" applyAlignment="1">
      <alignment vertical="center"/>
      <protection/>
    </xf>
    <xf numFmtId="205" fontId="76" fillId="10" borderId="31" xfId="40" applyNumberFormat="1" applyFont="1" applyFill="1" applyBorder="1" applyAlignment="1">
      <alignment vertical="center"/>
      <protection/>
    </xf>
    <xf numFmtId="177" fontId="76" fillId="10" borderId="31" xfId="40" applyNumberFormat="1" applyFont="1" applyFill="1" applyBorder="1">
      <alignment vertical="center"/>
      <protection/>
    </xf>
    <xf numFmtId="0" fontId="76" fillId="10" borderId="31" xfId="40" applyFont="1" applyFill="1" applyBorder="1">
      <alignment vertical="center"/>
      <protection/>
    </xf>
    <xf numFmtId="0" fontId="76" fillId="10" borderId="32" xfId="40" applyFont="1" applyFill="1" applyBorder="1">
      <alignment vertical="center"/>
      <protection/>
    </xf>
    <xf numFmtId="0" fontId="76" fillId="0" borderId="30" xfId="40" applyFont="1" applyFill="1" applyBorder="1" applyAlignment="1">
      <alignment vertical="center"/>
      <protection/>
    </xf>
    <xf numFmtId="0" fontId="76" fillId="0" borderId="31" xfId="40" applyFont="1" applyFill="1" applyBorder="1" applyAlignment="1">
      <alignment vertical="center"/>
      <protection/>
    </xf>
    <xf numFmtId="0" fontId="76" fillId="0" borderId="32" xfId="40" applyFont="1" applyFill="1" applyBorder="1" applyAlignment="1">
      <alignment vertical="center"/>
      <protection/>
    </xf>
    <xf numFmtId="177" fontId="76" fillId="0" borderId="32" xfId="40" applyNumberFormat="1" applyFont="1" applyFill="1" applyBorder="1" applyAlignment="1">
      <alignment vertical="center"/>
      <protection/>
    </xf>
    <xf numFmtId="205" fontId="76" fillId="0" borderId="31" xfId="40" applyNumberFormat="1" applyFont="1" applyFill="1" applyBorder="1" applyAlignment="1">
      <alignment vertical="center"/>
      <protection/>
    </xf>
    <xf numFmtId="177" fontId="76" fillId="0" borderId="31" xfId="40" applyNumberFormat="1" applyFont="1" applyFill="1" applyBorder="1">
      <alignment vertical="center"/>
      <protection/>
    </xf>
    <xf numFmtId="0" fontId="76" fillId="0" borderId="31" xfId="40" applyFont="1" applyFill="1" applyBorder="1">
      <alignment vertical="center"/>
      <protection/>
    </xf>
    <xf numFmtId="0" fontId="76" fillId="0" borderId="32" xfId="40" applyFont="1" applyFill="1" applyBorder="1">
      <alignment vertical="center"/>
      <protection/>
    </xf>
    <xf numFmtId="0" fontId="73" fillId="0" borderId="0" xfId="40" applyFont="1" applyFill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3" fillId="0" borderId="31" xfId="40" applyFont="1" applyFill="1" applyBorder="1">
      <alignment vertical="center"/>
      <protection/>
    </xf>
    <xf numFmtId="0" fontId="73" fillId="0" borderId="32" xfId="40" applyFont="1" applyFill="1" applyBorder="1">
      <alignment vertical="center"/>
      <protection/>
    </xf>
    <xf numFmtId="177" fontId="73" fillId="0" borderId="32" xfId="40" applyNumberFormat="1" applyFont="1" applyFill="1" applyBorder="1">
      <alignment vertical="center"/>
      <protection/>
    </xf>
    <xf numFmtId="205" fontId="73" fillId="0" borderId="31" xfId="40" applyNumberFormat="1" applyFont="1" applyFill="1" applyBorder="1">
      <alignment vertical="center"/>
      <protection/>
    </xf>
    <xf numFmtId="177" fontId="73" fillId="0" borderId="31" xfId="40" applyNumberFormat="1" applyFont="1" applyFill="1" applyBorder="1">
      <alignment vertical="center"/>
      <protection/>
    </xf>
    <xf numFmtId="0" fontId="77" fillId="0" borderId="31" xfId="40" applyFont="1" applyFill="1" applyBorder="1">
      <alignment vertical="center"/>
      <protection/>
    </xf>
    <xf numFmtId="0" fontId="77" fillId="0" borderId="32" xfId="40" applyFont="1" applyFill="1" applyBorder="1">
      <alignment vertical="center"/>
      <protection/>
    </xf>
    <xf numFmtId="177" fontId="73" fillId="0" borderId="31" xfId="40" applyNumberFormat="1" applyFont="1" applyFill="1" applyBorder="1" applyAlignment="1">
      <alignment horizontal="left" vertical="center"/>
      <protection/>
    </xf>
    <xf numFmtId="0" fontId="73" fillId="0" borderId="32" xfId="40" applyFont="1" applyFill="1" applyBorder="1" applyAlignment="1">
      <alignment vertical="center"/>
      <protection/>
    </xf>
    <xf numFmtId="177" fontId="73" fillId="0" borderId="32" xfId="40" applyNumberFormat="1" applyFont="1" applyFill="1" applyBorder="1" applyAlignment="1">
      <alignment vertical="center"/>
      <protection/>
    </xf>
    <xf numFmtId="0" fontId="73" fillId="0" borderId="30" xfId="40" applyFont="1" applyFill="1" applyBorder="1" applyAlignment="1">
      <alignment vertical="center"/>
      <protection/>
    </xf>
    <xf numFmtId="205" fontId="73" fillId="0" borderId="31" xfId="40" applyNumberFormat="1" applyFont="1" applyFill="1" applyBorder="1" applyAlignment="1">
      <alignment vertical="center"/>
      <protection/>
    </xf>
    <xf numFmtId="0" fontId="73" fillId="0" borderId="31" xfId="40" applyFont="1" applyFill="1" applyBorder="1" applyAlignment="1">
      <alignment vertical="center"/>
      <protection/>
    </xf>
    <xf numFmtId="177" fontId="73" fillId="0" borderId="31" xfId="83" applyNumberFormat="1" applyFont="1" applyFill="1" applyBorder="1" applyAlignment="1">
      <alignment vertical="center"/>
      <protection/>
    </xf>
    <xf numFmtId="0" fontId="74" fillId="0" borderId="31" xfId="40" applyFont="1" applyFill="1" applyBorder="1" applyAlignment="1">
      <alignment vertical="center"/>
      <protection/>
    </xf>
    <xf numFmtId="0" fontId="74" fillId="0" borderId="32" xfId="40" applyFont="1" applyFill="1" applyBorder="1" applyAlignment="1">
      <alignment vertical="center"/>
      <protection/>
    </xf>
    <xf numFmtId="177" fontId="74" fillId="0" borderId="32" xfId="40" applyNumberFormat="1" applyFont="1" applyBorder="1">
      <alignment vertical="center"/>
      <protection/>
    </xf>
    <xf numFmtId="0" fontId="74" fillId="0" borderId="30" xfId="40" applyFont="1" applyFill="1" applyBorder="1" applyAlignment="1">
      <alignment vertical="center"/>
      <protection/>
    </xf>
    <xf numFmtId="205" fontId="74" fillId="0" borderId="31" xfId="40" applyNumberFormat="1" applyFont="1" applyFill="1" applyBorder="1" applyAlignment="1">
      <alignment vertical="center"/>
      <protection/>
    </xf>
    <xf numFmtId="0" fontId="74" fillId="0" borderId="32" xfId="40" applyFont="1" applyFill="1" applyBorder="1">
      <alignment vertical="center"/>
      <protection/>
    </xf>
    <xf numFmtId="0" fontId="74" fillId="0" borderId="0" xfId="40" applyFont="1" applyFill="1">
      <alignment vertical="center"/>
      <protection/>
    </xf>
    <xf numFmtId="0" fontId="78" fillId="34" borderId="0" xfId="40" applyFont="1" applyFill="1">
      <alignment vertical="center"/>
      <protection/>
    </xf>
    <xf numFmtId="9" fontId="73" fillId="0" borderId="0" xfId="41" applyFont="1" applyAlignment="1">
      <alignment vertical="center"/>
    </xf>
    <xf numFmtId="42" fontId="73" fillId="0" borderId="0" xfId="39" applyFont="1" applyAlignment="1">
      <alignment vertical="center"/>
    </xf>
    <xf numFmtId="0" fontId="79" fillId="0" borderId="0" xfId="40" applyFont="1" applyAlignment="1">
      <alignment vertical="center"/>
      <protection/>
    </xf>
    <xf numFmtId="0" fontId="75" fillId="0" borderId="0" xfId="40" applyFont="1">
      <alignment vertical="center"/>
      <protection/>
    </xf>
    <xf numFmtId="0" fontId="73" fillId="0" borderId="0" xfId="40" applyFont="1" applyFill="1">
      <alignment vertical="center"/>
      <protection/>
    </xf>
    <xf numFmtId="177" fontId="73" fillId="0" borderId="33" xfId="40" applyNumberFormat="1" applyFont="1" applyFill="1" applyBorder="1">
      <alignment vertical="center"/>
      <protection/>
    </xf>
    <xf numFmtId="0" fontId="76" fillId="0" borderId="12" xfId="40" applyFont="1" applyBorder="1">
      <alignment vertical="center"/>
      <protection/>
    </xf>
    <xf numFmtId="0" fontId="76" fillId="0" borderId="10" xfId="40" applyFont="1" applyBorder="1">
      <alignment vertical="center"/>
      <protection/>
    </xf>
    <xf numFmtId="0" fontId="73" fillId="0" borderId="0" xfId="40" applyFont="1" applyFill="1" applyBorder="1">
      <alignment vertical="center"/>
      <protection/>
    </xf>
    <xf numFmtId="0" fontId="73" fillId="0" borderId="0" xfId="40" applyFont="1" applyFill="1" applyBorder="1" applyAlignment="1">
      <alignment horizontal="center" vertical="center"/>
      <protection/>
    </xf>
    <xf numFmtId="0" fontId="75" fillId="0" borderId="0" xfId="40" applyFont="1" applyFill="1" applyBorder="1">
      <alignment vertical="center"/>
      <protection/>
    </xf>
    <xf numFmtId="0" fontId="73" fillId="0" borderId="0" xfId="40" applyFont="1" applyBorder="1">
      <alignment vertical="center"/>
      <protection/>
    </xf>
    <xf numFmtId="177" fontId="73" fillId="0" borderId="0" xfId="40" applyNumberFormat="1" applyFont="1" applyFill="1" applyBorder="1">
      <alignment vertical="center"/>
      <protection/>
    </xf>
    <xf numFmtId="0" fontId="76" fillId="0" borderId="10" xfId="40" applyFont="1" applyBorder="1">
      <alignment vertical="center"/>
      <protection/>
    </xf>
    <xf numFmtId="0" fontId="76" fillId="0" borderId="11" xfId="40" applyFont="1" applyBorder="1">
      <alignment vertical="center"/>
      <protection/>
    </xf>
    <xf numFmtId="0" fontId="76" fillId="0" borderId="16" xfId="40" applyFont="1" applyBorder="1">
      <alignment vertical="center"/>
      <protection/>
    </xf>
    <xf numFmtId="0" fontId="76" fillId="0" borderId="12" xfId="40" applyFont="1" applyBorder="1">
      <alignment vertical="center"/>
      <protection/>
    </xf>
    <xf numFmtId="0" fontId="73" fillId="0" borderId="0" xfId="40" applyFont="1" applyFill="1">
      <alignment vertical="center"/>
      <protection/>
    </xf>
    <xf numFmtId="0" fontId="73" fillId="0" borderId="34" xfId="40" applyFont="1" applyFill="1" applyBorder="1">
      <alignment vertical="center"/>
      <protection/>
    </xf>
    <xf numFmtId="0" fontId="73" fillId="0" borderId="34" xfId="40" applyFont="1" applyFill="1" applyBorder="1" applyAlignment="1">
      <alignment horizontal="center" vertical="center"/>
      <protection/>
    </xf>
    <xf numFmtId="177" fontId="73" fillId="0" borderId="34" xfId="40" applyNumberFormat="1" applyFont="1" applyFill="1" applyBorder="1">
      <alignment vertical="center"/>
      <protection/>
    </xf>
    <xf numFmtId="0" fontId="75" fillId="0" borderId="34" xfId="40" applyFont="1" applyFill="1" applyBorder="1">
      <alignment vertical="center"/>
      <protection/>
    </xf>
    <xf numFmtId="0" fontId="73" fillId="0" borderId="31" xfId="40" applyFont="1" applyFill="1" applyBorder="1" applyAlignment="1">
      <alignment horizontal="center" vertical="center"/>
      <protection/>
    </xf>
    <xf numFmtId="0" fontId="73" fillId="0" borderId="35" xfId="40" applyFont="1" applyFill="1" applyBorder="1">
      <alignment vertical="center"/>
      <protection/>
    </xf>
    <xf numFmtId="177" fontId="73" fillId="0" borderId="35" xfId="40" applyNumberFormat="1" applyFont="1" applyFill="1" applyBorder="1">
      <alignment vertical="center"/>
      <protection/>
    </xf>
    <xf numFmtId="0" fontId="73" fillId="0" borderId="36" xfId="40" applyFont="1" applyBorder="1">
      <alignment vertical="center"/>
      <protection/>
    </xf>
    <xf numFmtId="0" fontId="73" fillId="0" borderId="36" xfId="40" applyFont="1" applyFill="1" applyBorder="1">
      <alignment vertical="center"/>
      <protection/>
    </xf>
    <xf numFmtId="0" fontId="73" fillId="0" borderId="36" xfId="40" applyFont="1" applyBorder="1" applyAlignment="1">
      <alignment horizontal="center" vertical="center"/>
      <protection/>
    </xf>
    <xf numFmtId="177" fontId="73" fillId="0" borderId="36" xfId="40" applyNumberFormat="1" applyFont="1" applyBorder="1">
      <alignment vertical="center"/>
      <protection/>
    </xf>
    <xf numFmtId="0" fontId="75" fillId="0" borderId="36" xfId="40" applyFont="1" applyBorder="1">
      <alignment vertical="center"/>
      <protection/>
    </xf>
    <xf numFmtId="0" fontId="73" fillId="0" borderId="37" xfId="40" applyFont="1" applyBorder="1">
      <alignment vertical="center"/>
      <protection/>
    </xf>
    <xf numFmtId="0" fontId="73" fillId="0" borderId="12" xfId="40" applyFont="1" applyFill="1" applyBorder="1">
      <alignment vertical="center"/>
      <protection/>
    </xf>
    <xf numFmtId="0" fontId="75" fillId="0" borderId="34" xfId="40" applyFont="1" applyBorder="1">
      <alignment vertical="center"/>
      <protection/>
    </xf>
    <xf numFmtId="0" fontId="75" fillId="0" borderId="31" xfId="40" applyFont="1" applyBorder="1">
      <alignment vertical="center"/>
      <protection/>
    </xf>
    <xf numFmtId="0" fontId="73" fillId="0" borderId="34" xfId="40" applyFont="1" applyFill="1" applyBorder="1" applyAlignment="1">
      <alignment vertical="center"/>
      <protection/>
    </xf>
    <xf numFmtId="0" fontId="75" fillId="0" borderId="31" xfId="40" applyFont="1" applyFill="1" applyBorder="1">
      <alignment vertical="center"/>
      <protection/>
    </xf>
    <xf numFmtId="0" fontId="75" fillId="0" borderId="35" xfId="40" applyFont="1" applyFill="1" applyBorder="1">
      <alignment vertical="center"/>
      <protection/>
    </xf>
    <xf numFmtId="0" fontId="75" fillId="0" borderId="38" xfId="40" applyFont="1" applyFill="1" applyBorder="1">
      <alignment vertical="center"/>
      <protection/>
    </xf>
    <xf numFmtId="0" fontId="76" fillId="0" borderId="12" xfId="40" applyFont="1" applyBorder="1" applyAlignment="1">
      <alignment horizontal="center" vertical="center"/>
      <protection/>
    </xf>
    <xf numFmtId="0" fontId="76" fillId="0" borderId="12" xfId="40" applyFont="1" applyFill="1" applyBorder="1" applyAlignment="1">
      <alignment horizontal="center" vertical="center"/>
      <protection/>
    </xf>
    <xf numFmtId="0" fontId="76" fillId="0" borderId="0" xfId="40" applyFont="1" applyAlignment="1">
      <alignment horizontal="center" vertical="center"/>
      <protection/>
    </xf>
    <xf numFmtId="0" fontId="75" fillId="0" borderId="39" xfId="40" applyFont="1" applyFill="1" applyBorder="1">
      <alignment vertical="center"/>
      <protection/>
    </xf>
    <xf numFmtId="0" fontId="75" fillId="0" borderId="40" xfId="40" applyFont="1" applyFill="1" applyBorder="1">
      <alignment vertical="center"/>
      <protection/>
    </xf>
    <xf numFmtId="0" fontId="75" fillId="0" borderId="37" xfId="40" applyFont="1" applyFill="1" applyBorder="1">
      <alignment vertical="center"/>
      <protection/>
    </xf>
    <xf numFmtId="0" fontId="73" fillId="0" borderId="37" xfId="40" applyFont="1" applyFill="1" applyBorder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5" fillId="35" borderId="34" xfId="40" applyFont="1" applyFill="1" applyBorder="1">
      <alignment vertical="center"/>
      <protection/>
    </xf>
    <xf numFmtId="0" fontId="75" fillId="35" borderId="37" xfId="40" applyFont="1" applyFill="1" applyBorder="1">
      <alignment vertical="center"/>
      <protection/>
    </xf>
    <xf numFmtId="0" fontId="75" fillId="0" borderId="33" xfId="40" applyFont="1" applyFill="1" applyBorder="1">
      <alignment vertical="center"/>
      <protection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vertical="center" wrapText="1"/>
    </xf>
    <xf numFmtId="9" fontId="7" fillId="36" borderId="12" xfId="0" applyNumberFormat="1" applyFont="1" applyFill="1" applyBorder="1" applyAlignment="1">
      <alignment vertical="center" wrapText="1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 wrapText="1"/>
    </xf>
    <xf numFmtId="0" fontId="7" fillId="36" borderId="0" xfId="0" applyFont="1" applyFill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10" fillId="36" borderId="12" xfId="0" applyFont="1" applyFill="1" applyBorder="1" applyAlignment="1">
      <alignment vertical="center" wrapText="1"/>
    </xf>
    <xf numFmtId="0" fontId="73" fillId="0" borderId="28" xfId="40" applyFont="1" applyFill="1" applyBorder="1">
      <alignment vertical="center"/>
      <protection/>
    </xf>
    <xf numFmtId="177" fontId="73" fillId="0" borderId="28" xfId="40" applyNumberFormat="1" applyFont="1" applyFill="1" applyBorder="1">
      <alignment vertical="center"/>
      <protection/>
    </xf>
    <xf numFmtId="0" fontId="75" fillId="0" borderId="28" xfId="40" applyFont="1" applyFill="1" applyBorder="1">
      <alignment vertical="center"/>
      <protection/>
    </xf>
    <xf numFmtId="0" fontId="73" fillId="0" borderId="27" xfId="40" applyFont="1" applyBorder="1">
      <alignment vertical="center"/>
      <protection/>
    </xf>
    <xf numFmtId="0" fontId="73" fillId="0" borderId="34" xfId="40" applyFont="1" applyBorder="1">
      <alignment vertical="center"/>
      <protection/>
    </xf>
    <xf numFmtId="0" fontId="73" fillId="0" borderId="10" xfId="40" applyFont="1" applyFill="1" applyBorder="1">
      <alignment vertical="center"/>
      <protection/>
    </xf>
    <xf numFmtId="0" fontId="73" fillId="0" borderId="11" xfId="40" applyFont="1" applyFill="1" applyBorder="1">
      <alignment vertical="center"/>
      <protection/>
    </xf>
    <xf numFmtId="0" fontId="73" fillId="0" borderId="16" xfId="40" applyFont="1" applyFill="1" applyBorder="1">
      <alignment vertical="center"/>
      <protection/>
    </xf>
    <xf numFmtId="0" fontId="73" fillId="0" borderId="33" xfId="40" applyFont="1" applyFill="1" applyBorder="1">
      <alignment vertical="center"/>
      <protection/>
    </xf>
    <xf numFmtId="177" fontId="75" fillId="0" borderId="35" xfId="40" applyNumberFormat="1" applyFont="1" applyFill="1" applyBorder="1">
      <alignment vertical="center"/>
      <protection/>
    </xf>
    <xf numFmtId="0" fontId="73" fillId="0" borderId="41" xfId="40" applyFont="1" applyFill="1" applyBorder="1">
      <alignment vertical="center"/>
      <protection/>
    </xf>
    <xf numFmtId="0" fontId="72" fillId="0" borderId="0" xfId="40" applyFont="1" applyFill="1" applyAlignment="1">
      <alignment horizontal="right" vertical="center"/>
      <protection/>
    </xf>
    <xf numFmtId="0" fontId="80" fillId="0" borderId="0" xfId="40" applyFont="1" applyAlignment="1">
      <alignment horizontal="left" vertical="center"/>
      <protection/>
    </xf>
    <xf numFmtId="0" fontId="81" fillId="0" borderId="24" xfId="40" applyFont="1" applyBorder="1" applyAlignment="1">
      <alignment horizontal="right" vertical="center"/>
      <protection/>
    </xf>
    <xf numFmtId="41" fontId="7" fillId="7" borderId="23" xfId="6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vertical="center" wrapText="1"/>
    </xf>
    <xf numFmtId="0" fontId="10" fillId="37" borderId="12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vertical="center" wrapText="1"/>
    </xf>
    <xf numFmtId="9" fontId="7" fillId="37" borderId="12" xfId="0" applyNumberFormat="1" applyFont="1" applyFill="1" applyBorder="1" applyAlignment="1">
      <alignment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left" vertical="center" wrapText="1"/>
    </xf>
    <xf numFmtId="9" fontId="10" fillId="37" borderId="42" xfId="0" applyNumberFormat="1" applyFont="1" applyFill="1" applyBorder="1" applyAlignment="1">
      <alignment vertical="center" wrapText="1"/>
    </xf>
    <xf numFmtId="0" fontId="10" fillId="37" borderId="43" xfId="0" applyFont="1" applyFill="1" applyBorder="1" applyAlignment="1">
      <alignment horizontal="left" vertical="center" wrapText="1"/>
    </xf>
    <xf numFmtId="0" fontId="73" fillId="0" borderId="0" xfId="40" applyFont="1">
      <alignment vertical="center"/>
      <protection/>
    </xf>
    <xf numFmtId="0" fontId="74" fillId="0" borderId="0" xfId="40" applyFont="1">
      <alignment vertical="center"/>
      <protection/>
    </xf>
    <xf numFmtId="0" fontId="73" fillId="0" borderId="30" xfId="40" applyFont="1" applyBorder="1">
      <alignment vertical="center"/>
      <protection/>
    </xf>
    <xf numFmtId="0" fontId="73" fillId="0" borderId="31" xfId="40" applyFont="1" applyBorder="1">
      <alignment vertical="center"/>
      <protection/>
    </xf>
    <xf numFmtId="0" fontId="75" fillId="0" borderId="31" xfId="40" applyFont="1" applyFill="1" applyBorder="1">
      <alignment vertical="center"/>
      <protection/>
    </xf>
    <xf numFmtId="0" fontId="73" fillId="0" borderId="0" xfId="40" applyFont="1" applyFill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3" fillId="0" borderId="31" xfId="40" applyFont="1" applyFill="1" applyBorder="1">
      <alignment vertical="center"/>
      <protection/>
    </xf>
    <xf numFmtId="0" fontId="73" fillId="0" borderId="32" xfId="40" applyFont="1" applyFill="1" applyBorder="1">
      <alignment vertical="center"/>
      <protection/>
    </xf>
    <xf numFmtId="177" fontId="73" fillId="0" borderId="31" xfId="40" applyNumberFormat="1" applyFont="1" applyFill="1" applyBorder="1">
      <alignment vertical="center"/>
      <protection/>
    </xf>
    <xf numFmtId="177" fontId="73" fillId="0" borderId="31" xfId="40" applyNumberFormat="1" applyFont="1" applyFill="1" applyBorder="1" applyAlignment="1">
      <alignment horizontal="left" vertical="center"/>
      <protection/>
    </xf>
    <xf numFmtId="0" fontId="75" fillId="0" borderId="30" xfId="40" applyFont="1" applyBorder="1">
      <alignment vertical="center"/>
      <protection/>
    </xf>
    <xf numFmtId="0" fontId="75" fillId="0" borderId="32" xfId="40" applyFont="1" applyBorder="1">
      <alignment vertical="center"/>
      <protection/>
    </xf>
    <xf numFmtId="0" fontId="73" fillId="0" borderId="32" xfId="40" applyFont="1" applyFill="1" applyBorder="1" applyAlignment="1">
      <alignment horizontal="center" vertical="center"/>
      <protection/>
    </xf>
    <xf numFmtId="0" fontId="75" fillId="0" borderId="30" xfId="40" applyFont="1" applyFill="1" applyBorder="1">
      <alignment vertical="center"/>
      <protection/>
    </xf>
    <xf numFmtId="0" fontId="73" fillId="0" borderId="31" xfId="40" applyFont="1" applyBorder="1" applyAlignment="1">
      <alignment horizontal="center" vertical="center"/>
      <protection/>
    </xf>
    <xf numFmtId="0" fontId="75" fillId="0" borderId="44" xfId="40" applyFont="1" applyFill="1" applyBorder="1">
      <alignment vertical="center"/>
      <protection/>
    </xf>
    <xf numFmtId="0" fontId="73" fillId="0" borderId="44" xfId="40" applyFont="1" applyFill="1" applyBorder="1">
      <alignment vertical="center"/>
      <protection/>
    </xf>
    <xf numFmtId="0" fontId="76" fillId="0" borderId="12" xfId="40" applyFont="1" applyBorder="1">
      <alignment vertical="center"/>
      <protection/>
    </xf>
    <xf numFmtId="0" fontId="76" fillId="0" borderId="10" xfId="40" applyFont="1" applyBorder="1">
      <alignment vertical="center"/>
      <protection/>
    </xf>
    <xf numFmtId="177" fontId="73" fillId="0" borderId="34" xfId="40" applyNumberFormat="1" applyFont="1" applyFill="1" applyBorder="1">
      <alignment vertical="center"/>
      <protection/>
    </xf>
    <xf numFmtId="0" fontId="73" fillId="0" borderId="31" xfId="40" applyFont="1" applyFill="1" applyBorder="1" applyAlignment="1">
      <alignment horizontal="center" vertical="center"/>
      <protection/>
    </xf>
    <xf numFmtId="0" fontId="73" fillId="0" borderId="35" xfId="40" applyFont="1" applyFill="1" applyBorder="1">
      <alignment vertical="center"/>
      <protection/>
    </xf>
    <xf numFmtId="0" fontId="73" fillId="0" borderId="35" xfId="40" applyFont="1" applyFill="1" applyBorder="1" applyAlignment="1">
      <alignment horizontal="center" vertical="center"/>
      <protection/>
    </xf>
    <xf numFmtId="0" fontId="73" fillId="0" borderId="35" xfId="40" applyFont="1" applyBorder="1">
      <alignment vertical="center"/>
      <protection/>
    </xf>
    <xf numFmtId="177" fontId="73" fillId="0" borderId="35" xfId="40" applyNumberFormat="1" applyFont="1" applyFill="1" applyBorder="1">
      <alignment vertical="center"/>
      <protection/>
    </xf>
    <xf numFmtId="0" fontId="75" fillId="0" borderId="35" xfId="40" applyFont="1" applyFill="1" applyBorder="1">
      <alignment vertical="center"/>
      <protection/>
    </xf>
    <xf numFmtId="0" fontId="73" fillId="0" borderId="39" xfId="40" applyFont="1" applyFill="1" applyBorder="1">
      <alignment vertical="center"/>
      <protection/>
    </xf>
    <xf numFmtId="0" fontId="73" fillId="0" borderId="38" xfId="40" applyFont="1" applyFill="1" applyBorder="1">
      <alignment vertical="center"/>
      <protection/>
    </xf>
    <xf numFmtId="0" fontId="75" fillId="0" borderId="34" xfId="40" applyFont="1" applyBorder="1">
      <alignment vertical="center"/>
      <protection/>
    </xf>
    <xf numFmtId="0" fontId="75" fillId="0" borderId="31" xfId="40" applyFont="1" applyBorder="1">
      <alignment vertical="center"/>
      <protection/>
    </xf>
    <xf numFmtId="0" fontId="73" fillId="0" borderId="39" xfId="40" applyFont="1" applyFill="1" applyBorder="1" applyAlignment="1">
      <alignment horizontal="center" vertical="center"/>
      <protection/>
    </xf>
    <xf numFmtId="0" fontId="75" fillId="0" borderId="32" xfId="40" applyFont="1" applyFill="1" applyBorder="1">
      <alignment vertical="center"/>
      <protection/>
    </xf>
    <xf numFmtId="0" fontId="75" fillId="0" borderId="31" xfId="40" applyFont="1" applyFill="1" applyBorder="1" applyAlignment="1">
      <alignment horizontal="center" vertical="center"/>
      <protection/>
    </xf>
    <xf numFmtId="205" fontId="75" fillId="0" borderId="31" xfId="40" applyNumberFormat="1" applyFont="1" applyFill="1" applyBorder="1">
      <alignment vertical="center"/>
      <protection/>
    </xf>
    <xf numFmtId="177" fontId="75" fillId="0" borderId="31" xfId="40" applyNumberFormat="1" applyFont="1" applyFill="1" applyBorder="1">
      <alignment vertical="center"/>
      <protection/>
    </xf>
    <xf numFmtId="0" fontId="75" fillId="0" borderId="38" xfId="40" applyFont="1" applyFill="1" applyBorder="1">
      <alignment vertical="center"/>
      <protection/>
    </xf>
    <xf numFmtId="0" fontId="76" fillId="0" borderId="12" xfId="40" applyFont="1" applyBorder="1" applyAlignment="1">
      <alignment horizontal="center" vertical="center"/>
      <protection/>
    </xf>
    <xf numFmtId="0" fontId="75" fillId="0" borderId="39" xfId="40" applyFont="1" applyFill="1" applyBorder="1">
      <alignment vertical="center"/>
      <protection/>
    </xf>
    <xf numFmtId="0" fontId="75" fillId="0" borderId="37" xfId="40" applyFont="1" applyFill="1" applyBorder="1">
      <alignment vertical="center"/>
      <protection/>
    </xf>
    <xf numFmtId="0" fontId="73" fillId="0" borderId="43" xfId="40" applyFont="1" applyFill="1" applyBorder="1">
      <alignment vertical="center"/>
      <protection/>
    </xf>
    <xf numFmtId="0" fontId="73" fillId="0" borderId="12" xfId="40" applyFont="1" applyFill="1" applyBorder="1">
      <alignment vertical="center"/>
      <protection/>
    </xf>
    <xf numFmtId="0" fontId="81" fillId="0" borderId="0" xfId="40" applyFont="1" applyBorder="1" applyAlignment="1">
      <alignment horizontal="right" vertical="center"/>
      <protection/>
    </xf>
    <xf numFmtId="0" fontId="81" fillId="0" borderId="11" xfId="40" applyFont="1" applyBorder="1" applyAlignment="1">
      <alignment horizontal="right" vertical="center"/>
      <protection/>
    </xf>
    <xf numFmtId="41" fontId="82" fillId="0" borderId="11" xfId="60" applyFont="1" applyBorder="1" applyAlignment="1">
      <alignment vertical="center"/>
    </xf>
    <xf numFmtId="14" fontId="81" fillId="0" borderId="11" xfId="40" applyNumberFormat="1" applyFont="1" applyBorder="1" applyAlignment="1">
      <alignment horizontal="right" vertical="center"/>
      <protection/>
    </xf>
    <xf numFmtId="0" fontId="83" fillId="0" borderId="42" xfId="40" applyFont="1" applyBorder="1" applyAlignment="1">
      <alignment horizontal="center" vertical="center"/>
      <protection/>
    </xf>
    <xf numFmtId="205" fontId="76" fillId="0" borderId="43" xfId="40" applyNumberFormat="1" applyFont="1" applyBorder="1" applyAlignment="1">
      <alignment horizontal="center" vertical="center"/>
      <protection/>
    </xf>
    <xf numFmtId="177" fontId="76" fillId="0" borderId="43" xfId="40" applyNumberFormat="1" applyFont="1" applyBorder="1" applyAlignment="1">
      <alignment horizontal="center" vertical="center"/>
      <protection/>
    </xf>
    <xf numFmtId="0" fontId="84" fillId="0" borderId="43" xfId="40" applyFont="1" applyBorder="1" applyAlignment="1">
      <alignment horizontal="center" vertical="center"/>
      <protection/>
    </xf>
    <xf numFmtId="207" fontId="75" fillId="0" borderId="31" xfId="40" applyNumberFormat="1" applyFont="1" applyFill="1" applyBorder="1">
      <alignment vertical="center"/>
      <protection/>
    </xf>
    <xf numFmtId="207" fontId="75" fillId="0" borderId="35" xfId="40" applyNumberFormat="1" applyFont="1" applyFill="1" applyBorder="1">
      <alignment vertical="center"/>
      <protection/>
    </xf>
    <xf numFmtId="207" fontId="73" fillId="0" borderId="31" xfId="40" applyNumberFormat="1" applyFont="1" applyFill="1" applyBorder="1">
      <alignment vertical="center"/>
      <protection/>
    </xf>
    <xf numFmtId="207" fontId="73" fillId="0" borderId="34" xfId="40" applyNumberFormat="1" applyFont="1" applyFill="1" applyBorder="1">
      <alignment vertical="center"/>
      <protection/>
    </xf>
    <xf numFmtId="207" fontId="75" fillId="35" borderId="34" xfId="40" applyNumberFormat="1" applyFont="1" applyFill="1" applyBorder="1">
      <alignment vertical="center"/>
      <protection/>
    </xf>
    <xf numFmtId="0" fontId="73" fillId="0" borderId="26" xfId="40" applyFont="1" applyBorder="1">
      <alignment vertical="center"/>
      <protection/>
    </xf>
    <xf numFmtId="207" fontId="73" fillId="0" borderId="28" xfId="40" applyNumberFormat="1" applyFont="1" applyFill="1" applyBorder="1">
      <alignment vertical="center"/>
      <protection/>
    </xf>
    <xf numFmtId="0" fontId="73" fillId="0" borderId="44" xfId="40" applyFont="1" applyFill="1" applyBorder="1" applyAlignment="1">
      <alignment vertical="center" wrapText="1"/>
      <protection/>
    </xf>
    <xf numFmtId="0" fontId="73" fillId="0" borderId="29" xfId="40" applyFont="1" applyFill="1" applyBorder="1" applyAlignment="1">
      <alignment horizontal="center" vertical="center"/>
      <protection/>
    </xf>
    <xf numFmtId="207" fontId="75" fillId="0" borderId="28" xfId="40" applyNumberFormat="1" applyFont="1" applyFill="1" applyBorder="1">
      <alignment vertical="center"/>
      <protection/>
    </xf>
    <xf numFmtId="9" fontId="10" fillId="37" borderId="26" xfId="0" applyNumberFormat="1" applyFont="1" applyFill="1" applyBorder="1" applyAlignment="1">
      <alignment vertical="center" wrapText="1"/>
    </xf>
    <xf numFmtId="9" fontId="10" fillId="37" borderId="44" xfId="0" applyNumberFormat="1" applyFont="1" applyFill="1" applyBorder="1" applyAlignment="1">
      <alignment vertical="center" wrapText="1"/>
    </xf>
    <xf numFmtId="9" fontId="10" fillId="37" borderId="12" xfId="0" applyNumberFormat="1" applyFont="1" applyFill="1" applyBorder="1" applyAlignment="1">
      <alignment vertical="center" wrapText="1"/>
    </xf>
    <xf numFmtId="2" fontId="76" fillId="0" borderId="10" xfId="40" applyNumberFormat="1" applyFont="1" applyBorder="1">
      <alignment vertical="center"/>
      <protection/>
    </xf>
    <xf numFmtId="0" fontId="85" fillId="0" borderId="0" xfId="40" applyFont="1" applyBorder="1" applyAlignment="1">
      <alignment horizontal="center" vertical="center"/>
      <protection/>
    </xf>
    <xf numFmtId="0" fontId="76" fillId="0" borderId="0" xfId="40" applyFont="1" applyBorder="1" applyAlignment="1">
      <alignment horizontal="center" vertical="center"/>
      <protection/>
    </xf>
    <xf numFmtId="41" fontId="76" fillId="0" borderId="0" xfId="60" applyFont="1" applyBorder="1" applyAlignment="1">
      <alignment horizontal="center" vertical="center"/>
    </xf>
    <xf numFmtId="177" fontId="85" fillId="0" borderId="0" xfId="40" applyNumberFormat="1" applyFont="1" applyFill="1" applyBorder="1">
      <alignment vertical="center"/>
      <protection/>
    </xf>
    <xf numFmtId="0" fontId="76" fillId="0" borderId="0" xfId="40" applyFont="1" applyBorder="1">
      <alignment vertical="center"/>
      <protection/>
    </xf>
    <xf numFmtId="207" fontId="85" fillId="0" borderId="0" xfId="40" applyNumberFormat="1" applyFont="1" applyFill="1" applyBorder="1">
      <alignment vertical="center"/>
      <protection/>
    </xf>
    <xf numFmtId="177" fontId="76" fillId="0" borderId="45" xfId="40" applyNumberFormat="1" applyFont="1" applyFill="1" applyBorder="1">
      <alignment vertical="center"/>
      <protection/>
    </xf>
    <xf numFmtId="0" fontId="73" fillId="0" borderId="12" xfId="40" applyFont="1" applyFill="1" applyBorder="1">
      <alignment vertical="center"/>
      <protection/>
    </xf>
    <xf numFmtId="0" fontId="73" fillId="0" borderId="16" xfId="40" applyFont="1" applyFill="1" applyBorder="1">
      <alignment vertical="center"/>
      <protection/>
    </xf>
    <xf numFmtId="0" fontId="73" fillId="0" borderId="41" xfId="40" applyFont="1" applyFill="1" applyBorder="1">
      <alignment vertical="center"/>
      <protection/>
    </xf>
    <xf numFmtId="207" fontId="76" fillId="0" borderId="25" xfId="40" applyNumberFormat="1" applyFont="1" applyFill="1" applyBorder="1">
      <alignment vertical="center"/>
      <protection/>
    </xf>
    <xf numFmtId="0" fontId="76" fillId="0" borderId="10" xfId="40" applyFont="1" applyBorder="1">
      <alignment vertical="center"/>
      <protection/>
    </xf>
    <xf numFmtId="0" fontId="76" fillId="0" borderId="16" xfId="40" applyFont="1" applyBorder="1">
      <alignment vertical="center"/>
      <protection/>
    </xf>
    <xf numFmtId="0" fontId="75" fillId="0" borderId="46" xfId="40" applyFont="1" applyFill="1" applyBorder="1">
      <alignment vertical="center"/>
      <protection/>
    </xf>
    <xf numFmtId="0" fontId="75" fillId="0" borderId="44" xfId="40" applyFont="1" applyFill="1" applyBorder="1">
      <alignment vertical="center"/>
      <protection/>
    </xf>
    <xf numFmtId="0" fontId="75" fillId="0" borderId="43" xfId="40" applyFont="1" applyFill="1" applyBorder="1">
      <alignment vertical="center"/>
      <protection/>
    </xf>
    <xf numFmtId="0" fontId="76" fillId="0" borderId="24" xfId="40" applyFont="1" applyFill="1" applyBorder="1" applyAlignment="1">
      <alignment horizontal="right" vertical="center"/>
      <protection/>
    </xf>
    <xf numFmtId="0" fontId="76" fillId="0" borderId="41" xfId="40" applyFont="1" applyFill="1" applyBorder="1" applyAlignment="1">
      <alignment horizontal="right" vertical="center"/>
      <protection/>
    </xf>
    <xf numFmtId="0" fontId="75" fillId="0" borderId="44" xfId="40" applyFont="1" applyFill="1" applyBorder="1" applyAlignment="1">
      <alignment horizontal="center" vertical="center"/>
      <protection/>
    </xf>
    <xf numFmtId="0" fontId="73" fillId="0" borderId="34" xfId="40" applyFont="1" applyFill="1" applyBorder="1">
      <alignment vertical="center"/>
      <protection/>
    </xf>
    <xf numFmtId="0" fontId="73" fillId="0" borderId="31" xfId="40" applyFont="1" applyFill="1" applyBorder="1">
      <alignment vertical="center"/>
      <protection/>
    </xf>
    <xf numFmtId="0" fontId="73" fillId="0" borderId="0" xfId="40" applyFont="1" applyFill="1">
      <alignment vertical="center"/>
      <protection/>
    </xf>
    <xf numFmtId="0" fontId="73" fillId="0" borderId="45" xfId="40" applyFont="1" applyFill="1" applyBorder="1">
      <alignment vertical="center"/>
      <protection/>
    </xf>
    <xf numFmtId="0" fontId="73" fillId="0" borderId="46" xfId="40" applyFont="1" applyFill="1" applyBorder="1">
      <alignment vertical="center"/>
      <protection/>
    </xf>
    <xf numFmtId="0" fontId="73" fillId="0" borderId="29" xfId="40" applyFont="1" applyFill="1" applyBorder="1">
      <alignment vertical="center"/>
      <protection/>
    </xf>
    <xf numFmtId="0" fontId="73" fillId="0" borderId="27" xfId="40" applyFont="1" applyFill="1" applyBorder="1">
      <alignment vertical="center"/>
      <protection/>
    </xf>
    <xf numFmtId="0" fontId="73" fillId="0" borderId="32" xfId="40" applyFont="1" applyFill="1" applyBorder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3" fillId="0" borderId="37" xfId="40" applyFont="1" applyFill="1" applyBorder="1">
      <alignment vertical="center"/>
      <protection/>
    </xf>
    <xf numFmtId="0" fontId="73" fillId="0" borderId="39" xfId="40" applyFont="1" applyFill="1" applyBorder="1">
      <alignment vertical="center"/>
      <protection/>
    </xf>
    <xf numFmtId="0" fontId="73" fillId="0" borderId="38" xfId="40" applyFont="1" applyFill="1" applyBorder="1">
      <alignment vertical="center"/>
      <protection/>
    </xf>
    <xf numFmtId="0" fontId="76" fillId="0" borderId="26" xfId="40" applyFont="1" applyFill="1" applyBorder="1" applyAlignment="1">
      <alignment horizontal="center" vertical="center"/>
      <protection/>
    </xf>
    <xf numFmtId="0" fontId="75" fillId="0" borderId="41" xfId="40" applyFont="1" applyFill="1" applyBorder="1">
      <alignment vertical="center"/>
      <protection/>
    </xf>
    <xf numFmtId="0" fontId="75" fillId="0" borderId="47" xfId="40" applyFont="1" applyFill="1" applyBorder="1">
      <alignment vertical="center"/>
      <protection/>
    </xf>
    <xf numFmtId="177" fontId="75" fillId="0" borderId="44" xfId="40" applyNumberFormat="1" applyFont="1" applyFill="1" applyBorder="1">
      <alignment vertical="center"/>
      <protection/>
    </xf>
    <xf numFmtId="0" fontId="75" fillId="0" borderId="26" xfId="40" applyFont="1" applyFill="1" applyBorder="1">
      <alignment vertical="center"/>
      <protection/>
    </xf>
    <xf numFmtId="0" fontId="73" fillId="0" borderId="24" xfId="40" applyFont="1" applyFill="1" applyBorder="1">
      <alignment vertical="center"/>
      <protection/>
    </xf>
    <xf numFmtId="0" fontId="73" fillId="0" borderId="24" xfId="40" applyFont="1" applyFill="1" applyBorder="1" applyAlignment="1">
      <alignment horizontal="center" vertical="center"/>
      <protection/>
    </xf>
    <xf numFmtId="177" fontId="73" fillId="0" borderId="43" xfId="40" applyNumberFormat="1" applyFont="1" applyFill="1" applyBorder="1">
      <alignment vertical="center"/>
      <protection/>
    </xf>
    <xf numFmtId="207" fontId="75" fillId="0" borderId="24" xfId="40" applyNumberFormat="1" applyFont="1" applyFill="1" applyBorder="1">
      <alignment vertical="center"/>
      <protection/>
    </xf>
    <xf numFmtId="0" fontId="76" fillId="0" borderId="0" xfId="40" applyFont="1" applyFill="1" applyBorder="1" applyAlignment="1">
      <alignment horizontal="right" vertical="center"/>
      <protection/>
    </xf>
    <xf numFmtId="0" fontId="76" fillId="0" borderId="46" xfId="40" applyFont="1" applyFill="1" applyBorder="1" applyAlignment="1">
      <alignment horizontal="right" vertical="center"/>
      <protection/>
    </xf>
    <xf numFmtId="177" fontId="76" fillId="0" borderId="44" xfId="40" applyNumberFormat="1" applyFont="1" applyFill="1" applyBorder="1">
      <alignment vertical="center"/>
      <protection/>
    </xf>
    <xf numFmtId="0" fontId="76" fillId="0" borderId="44" xfId="40" applyFont="1" applyFill="1" applyBorder="1">
      <alignment vertical="center"/>
      <protection/>
    </xf>
    <xf numFmtId="0" fontId="73" fillId="0" borderId="26" xfId="40" applyFont="1" applyFill="1" applyBorder="1">
      <alignment vertical="center"/>
      <protection/>
    </xf>
    <xf numFmtId="0" fontId="73" fillId="0" borderId="40" xfId="40" applyFont="1" applyFill="1" applyBorder="1" applyAlignment="1">
      <alignment horizontal="center" vertical="center"/>
      <protection/>
    </xf>
    <xf numFmtId="207" fontId="75" fillId="0" borderId="34" xfId="40" applyNumberFormat="1" applyFont="1" applyFill="1" applyBorder="1">
      <alignment vertical="center"/>
      <protection/>
    </xf>
    <xf numFmtId="0" fontId="73" fillId="0" borderId="34" xfId="40" applyFont="1" applyFill="1" applyBorder="1">
      <alignment vertical="center"/>
      <protection/>
    </xf>
    <xf numFmtId="0" fontId="73" fillId="0" borderId="31" xfId="40" applyFont="1" applyFill="1" applyBorder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3" fillId="0" borderId="37" xfId="40" applyFont="1" applyFill="1" applyBorder="1">
      <alignment vertical="center"/>
      <protection/>
    </xf>
    <xf numFmtId="0" fontId="73" fillId="0" borderId="38" xfId="40" applyFont="1" applyFill="1" applyBorder="1">
      <alignment vertical="center"/>
      <protection/>
    </xf>
    <xf numFmtId="0" fontId="75" fillId="35" borderId="31" xfId="40" applyFont="1" applyFill="1" applyBorder="1">
      <alignment vertical="center"/>
      <protection/>
    </xf>
    <xf numFmtId="0" fontId="75" fillId="35" borderId="31" xfId="40" applyFont="1" applyFill="1" applyBorder="1" applyAlignment="1">
      <alignment horizontal="center" vertical="center"/>
      <protection/>
    </xf>
    <xf numFmtId="0" fontId="75" fillId="35" borderId="30" xfId="40" applyFont="1" applyFill="1" applyBorder="1">
      <alignment vertical="center"/>
      <protection/>
    </xf>
    <xf numFmtId="207" fontId="75" fillId="35" borderId="31" xfId="40" applyNumberFormat="1" applyFont="1" applyFill="1" applyBorder="1">
      <alignment vertical="center"/>
      <protection/>
    </xf>
    <xf numFmtId="0" fontId="13" fillId="35" borderId="31" xfId="40" applyFont="1" applyFill="1" applyBorder="1">
      <alignment vertical="center"/>
      <protection/>
    </xf>
    <xf numFmtId="0" fontId="75" fillId="0" borderId="48" xfId="40" applyFont="1" applyFill="1" applyBorder="1">
      <alignment vertical="center"/>
      <protection/>
    </xf>
    <xf numFmtId="0" fontId="73" fillId="0" borderId="35" xfId="40" applyFont="1" applyFill="1" applyBorder="1" applyAlignment="1">
      <alignment vertical="center"/>
      <protection/>
    </xf>
    <xf numFmtId="223" fontId="7" fillId="0" borderId="17" xfId="60" applyNumberFormat="1" applyFont="1" applyFill="1" applyBorder="1" applyAlignment="1">
      <alignment vertical="center" wrapText="1"/>
    </xf>
    <xf numFmtId="223" fontId="7" fillId="0" borderId="23" xfId="60" applyNumberFormat="1" applyFont="1" applyFill="1" applyBorder="1" applyAlignment="1">
      <alignment vertical="center" wrapText="1"/>
    </xf>
    <xf numFmtId="223" fontId="7" fillId="37" borderId="12" xfId="0" applyNumberFormat="1" applyFont="1" applyFill="1" applyBorder="1" applyAlignment="1">
      <alignment vertical="center" wrapText="1"/>
    </xf>
    <xf numFmtId="223" fontId="10" fillId="37" borderId="12" xfId="0" applyNumberFormat="1" applyFont="1" applyFill="1" applyBorder="1" applyAlignment="1">
      <alignment vertical="center" wrapText="1"/>
    </xf>
    <xf numFmtId="223" fontId="7" fillId="36" borderId="12" xfId="0" applyNumberFormat="1" applyFont="1" applyFill="1" applyBorder="1" applyAlignment="1">
      <alignment vertical="center" wrapText="1"/>
    </xf>
    <xf numFmtId="223" fontId="10" fillId="36" borderId="12" xfId="0" applyNumberFormat="1" applyFont="1" applyFill="1" applyBorder="1" applyAlignment="1">
      <alignment vertical="center" wrapText="1"/>
    </xf>
    <xf numFmtId="223" fontId="10" fillId="37" borderId="42" xfId="60" applyNumberFormat="1" applyFont="1" applyFill="1" applyBorder="1" applyAlignment="1">
      <alignment vertical="center" wrapText="1"/>
    </xf>
    <xf numFmtId="223" fontId="10" fillId="37" borderId="49" xfId="60" applyNumberFormat="1" applyFont="1" applyFill="1" applyBorder="1" applyAlignment="1">
      <alignment vertical="center" wrapText="1"/>
    </xf>
    <xf numFmtId="223" fontId="10" fillId="37" borderId="43" xfId="60" applyNumberFormat="1" applyFont="1" applyFill="1" applyBorder="1" applyAlignment="1">
      <alignment vertical="center" wrapText="1"/>
    </xf>
    <xf numFmtId="223" fontId="10" fillId="37" borderId="44" xfId="60" applyNumberFormat="1" applyFont="1" applyFill="1" applyBorder="1" applyAlignment="1">
      <alignment vertical="center" wrapText="1"/>
    </xf>
    <xf numFmtId="223" fontId="7" fillId="36" borderId="0" xfId="0" applyNumberFormat="1" applyFont="1" applyFill="1" applyAlignment="1">
      <alignment vertical="center"/>
    </xf>
    <xf numFmtId="223" fontId="7" fillId="36" borderId="0" xfId="0" applyNumberFormat="1" applyFont="1" applyFill="1" applyAlignment="1">
      <alignment horizontal="center"/>
    </xf>
    <xf numFmtId="223" fontId="10" fillId="36" borderId="12" xfId="60" applyNumberFormat="1" applyFont="1" applyFill="1" applyBorder="1" applyAlignment="1">
      <alignment vertical="center"/>
    </xf>
    <xf numFmtId="223" fontId="7" fillId="0" borderId="0" xfId="0" applyNumberFormat="1" applyFont="1" applyAlignment="1">
      <alignment horizontal="center"/>
    </xf>
    <xf numFmtId="223" fontId="10" fillId="0" borderId="0" xfId="60" applyNumberFormat="1" applyFont="1" applyBorder="1" applyAlignment="1">
      <alignment vertical="center"/>
    </xf>
    <xf numFmtId="223" fontId="10" fillId="0" borderId="0" xfId="0" applyNumberFormat="1" applyFont="1" applyBorder="1" applyAlignment="1">
      <alignment vertical="center"/>
    </xf>
    <xf numFmtId="223" fontId="7" fillId="0" borderId="0" xfId="0" applyNumberFormat="1" applyFont="1" applyAlignment="1">
      <alignment vertical="center" wrapText="1"/>
    </xf>
    <xf numFmtId="0" fontId="75" fillId="0" borderId="42" xfId="40" applyFont="1" applyFill="1" applyBorder="1" applyAlignment="1">
      <alignment horizontal="center" vertical="center"/>
      <protection/>
    </xf>
    <xf numFmtId="0" fontId="73" fillId="0" borderId="0" xfId="40" applyFont="1" applyFill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3" fillId="0" borderId="37" xfId="40" applyFont="1" applyFill="1" applyBorder="1">
      <alignment vertical="center"/>
      <protection/>
    </xf>
    <xf numFmtId="0" fontId="73" fillId="0" borderId="38" xfId="40" applyFont="1" applyFill="1" applyBorder="1">
      <alignment vertical="center"/>
      <protection/>
    </xf>
    <xf numFmtId="0" fontId="73" fillId="0" borderId="50" xfId="40" applyFont="1" applyFill="1" applyBorder="1">
      <alignment vertical="center"/>
      <protection/>
    </xf>
    <xf numFmtId="0" fontId="75" fillId="35" borderId="42" xfId="40" applyFont="1" applyFill="1" applyBorder="1" applyAlignment="1">
      <alignment horizontal="center" vertical="center"/>
      <protection/>
    </xf>
    <xf numFmtId="201" fontId="73" fillId="0" borderId="0" xfId="40" applyNumberFormat="1" applyFont="1" applyAlignment="1">
      <alignment horizontal="right" vertical="center"/>
      <protection/>
    </xf>
    <xf numFmtId="201" fontId="73" fillId="0" borderId="32" xfId="40" applyNumberFormat="1" applyFont="1" applyFill="1" applyBorder="1" applyAlignment="1">
      <alignment horizontal="right" vertical="center"/>
      <protection/>
    </xf>
    <xf numFmtId="201" fontId="73" fillId="0" borderId="36" xfId="40" applyNumberFormat="1" applyFont="1" applyBorder="1" applyAlignment="1">
      <alignment horizontal="right" vertical="center"/>
      <protection/>
    </xf>
    <xf numFmtId="201" fontId="73" fillId="0" borderId="32" xfId="40" applyNumberFormat="1" applyFont="1" applyBorder="1" applyAlignment="1">
      <alignment horizontal="right" vertical="center"/>
      <protection/>
    </xf>
    <xf numFmtId="201" fontId="73" fillId="0" borderId="39" xfId="40" applyNumberFormat="1" applyFont="1" applyFill="1" applyBorder="1" applyAlignment="1">
      <alignment horizontal="right" vertical="center"/>
      <protection/>
    </xf>
    <xf numFmtId="201" fontId="73" fillId="0" borderId="0" xfId="40" applyNumberFormat="1" applyFont="1" applyFill="1" applyAlignment="1">
      <alignment horizontal="right" vertical="center"/>
      <protection/>
    </xf>
    <xf numFmtId="201" fontId="73" fillId="0" borderId="40" xfId="40" applyNumberFormat="1" applyFont="1" applyFill="1" applyBorder="1" applyAlignment="1">
      <alignment horizontal="right" vertical="center"/>
      <protection/>
    </xf>
    <xf numFmtId="201" fontId="73" fillId="0" borderId="24" xfId="40" applyNumberFormat="1" applyFont="1" applyFill="1" applyBorder="1" applyAlignment="1">
      <alignment horizontal="right" vertical="center"/>
      <protection/>
    </xf>
    <xf numFmtId="201" fontId="76" fillId="0" borderId="0" xfId="60" applyNumberFormat="1" applyFont="1" applyBorder="1" applyAlignment="1">
      <alignment horizontal="right" vertical="center"/>
    </xf>
    <xf numFmtId="201" fontId="73" fillId="0" borderId="25" xfId="40" applyNumberFormat="1" applyFont="1" applyFill="1" applyBorder="1" applyAlignment="1">
      <alignment horizontal="right" vertical="center"/>
      <protection/>
    </xf>
    <xf numFmtId="201" fontId="75" fillId="0" borderId="26" xfId="40" applyNumberFormat="1" applyFont="1" applyFill="1" applyBorder="1" applyAlignment="1">
      <alignment horizontal="right" vertical="center"/>
      <protection/>
    </xf>
    <xf numFmtId="201" fontId="73" fillId="0" borderId="29" xfId="40" applyNumberFormat="1" applyFont="1" applyBorder="1" applyAlignment="1">
      <alignment horizontal="right" vertical="center"/>
      <protection/>
    </xf>
    <xf numFmtId="201" fontId="73" fillId="0" borderId="0" xfId="40" applyNumberFormat="1" applyFont="1" applyBorder="1" applyAlignment="1">
      <alignment horizontal="right" vertical="center"/>
      <protection/>
    </xf>
    <xf numFmtId="201" fontId="73" fillId="0" borderId="29" xfId="40" applyNumberFormat="1" applyFont="1" applyFill="1" applyBorder="1" applyAlignment="1">
      <alignment horizontal="right" vertical="center"/>
      <protection/>
    </xf>
    <xf numFmtId="201" fontId="76" fillId="0" borderId="0" xfId="40" applyNumberFormat="1" applyFont="1" applyFill="1" applyBorder="1" applyAlignment="1">
      <alignment horizontal="right" vertical="center"/>
      <protection/>
    </xf>
    <xf numFmtId="201" fontId="76" fillId="0" borderId="24" xfId="40" applyNumberFormat="1" applyFont="1" applyFill="1" applyBorder="1" applyAlignment="1">
      <alignment horizontal="right" vertical="center"/>
      <protection/>
    </xf>
    <xf numFmtId="0" fontId="73" fillId="0" borderId="33" xfId="40" applyFont="1" applyBorder="1">
      <alignment vertical="center"/>
      <protection/>
    </xf>
    <xf numFmtId="0" fontId="73" fillId="0" borderId="33" xfId="40" applyFont="1" applyBorder="1" applyAlignment="1">
      <alignment horizontal="center" vertical="center"/>
      <protection/>
    </xf>
    <xf numFmtId="201" fontId="73" fillId="0" borderId="51" xfId="40" applyNumberFormat="1" applyFont="1" applyBorder="1" applyAlignment="1">
      <alignment horizontal="right" vertical="center"/>
      <protection/>
    </xf>
    <xf numFmtId="0" fontId="73" fillId="0" borderId="50" xfId="40" applyFont="1" applyBorder="1">
      <alignment vertical="center"/>
      <protection/>
    </xf>
    <xf numFmtId="0" fontId="73" fillId="0" borderId="46" xfId="40" applyFont="1" applyBorder="1">
      <alignment vertical="center"/>
      <protection/>
    </xf>
    <xf numFmtId="0" fontId="75" fillId="0" borderId="28" xfId="40" applyFont="1" applyBorder="1">
      <alignment vertical="center"/>
      <protection/>
    </xf>
    <xf numFmtId="0" fontId="73" fillId="0" borderId="44" xfId="40" applyFont="1" applyBorder="1">
      <alignment vertical="center"/>
      <protection/>
    </xf>
    <xf numFmtId="0" fontId="75" fillId="0" borderId="29" xfId="40" applyFont="1" applyBorder="1">
      <alignment vertical="center"/>
      <protection/>
    </xf>
    <xf numFmtId="0" fontId="75" fillId="0" borderId="27" xfId="40" applyFont="1" applyBorder="1">
      <alignment vertical="center"/>
      <protection/>
    </xf>
    <xf numFmtId="0" fontId="75" fillId="0" borderId="38" xfId="40" applyFont="1" applyBorder="1">
      <alignment vertical="center"/>
      <protection/>
    </xf>
    <xf numFmtId="0" fontId="75" fillId="0" borderId="35" xfId="40" applyFont="1" applyBorder="1">
      <alignment vertical="center"/>
      <protection/>
    </xf>
    <xf numFmtId="0" fontId="73" fillId="0" borderId="52" xfId="40" applyFont="1" applyFill="1" applyBorder="1">
      <alignment vertical="center"/>
      <protection/>
    </xf>
    <xf numFmtId="0" fontId="73" fillId="0" borderId="52" xfId="40" applyFont="1" applyBorder="1">
      <alignment vertical="center"/>
      <protection/>
    </xf>
    <xf numFmtId="207" fontId="75" fillId="0" borderId="52" xfId="40" applyNumberFormat="1" applyFont="1" applyFill="1" applyBorder="1">
      <alignment vertical="center"/>
      <protection/>
    </xf>
    <xf numFmtId="0" fontId="73" fillId="0" borderId="53" xfId="40" applyFont="1" applyFill="1" applyBorder="1">
      <alignment vertical="center"/>
      <protection/>
    </xf>
    <xf numFmtId="0" fontId="73" fillId="0" borderId="54" xfId="40" applyFont="1" applyFill="1" applyBorder="1">
      <alignment vertical="center"/>
      <protection/>
    </xf>
    <xf numFmtId="0" fontId="73" fillId="0" borderId="54" xfId="40" applyFont="1" applyBorder="1">
      <alignment vertical="center"/>
      <protection/>
    </xf>
    <xf numFmtId="207" fontId="75" fillId="0" borderId="54" xfId="40" applyNumberFormat="1" applyFont="1" applyFill="1" applyBorder="1">
      <alignment vertical="center"/>
      <protection/>
    </xf>
    <xf numFmtId="0" fontId="73" fillId="0" borderId="55" xfId="40" applyFont="1" applyFill="1" applyBorder="1">
      <alignment vertical="center"/>
      <protection/>
    </xf>
    <xf numFmtId="177" fontId="73" fillId="0" borderId="56" xfId="40" applyNumberFormat="1" applyFont="1" applyFill="1" applyBorder="1">
      <alignment vertical="center"/>
      <protection/>
    </xf>
    <xf numFmtId="207" fontId="75" fillId="0" borderId="56" xfId="40" applyNumberFormat="1" applyFont="1" applyFill="1" applyBorder="1">
      <alignment vertical="center"/>
      <protection/>
    </xf>
    <xf numFmtId="0" fontId="75" fillId="0" borderId="37" xfId="40" applyFont="1" applyBorder="1">
      <alignment vertical="center"/>
      <protection/>
    </xf>
    <xf numFmtId="0" fontId="75" fillId="0" borderId="53" xfId="40" applyFont="1" applyFill="1" applyBorder="1">
      <alignment vertical="center"/>
      <protection/>
    </xf>
    <xf numFmtId="0" fontId="75" fillId="0" borderId="57" xfId="40" applyFont="1" applyFill="1" applyBorder="1">
      <alignment vertical="center"/>
      <protection/>
    </xf>
    <xf numFmtId="0" fontId="75" fillId="0" borderId="58" xfId="40" applyFont="1" applyFill="1" applyBorder="1">
      <alignment vertical="center"/>
      <protection/>
    </xf>
    <xf numFmtId="201" fontId="73" fillId="0" borderId="53" xfId="40" applyNumberFormat="1" applyFont="1" applyBorder="1" applyAlignment="1">
      <alignment horizontal="right" vertical="center"/>
      <protection/>
    </xf>
    <xf numFmtId="0" fontId="73" fillId="0" borderId="57" xfId="40" applyFont="1" applyBorder="1">
      <alignment vertical="center"/>
      <protection/>
    </xf>
    <xf numFmtId="201" fontId="73" fillId="0" borderId="58" xfId="40" applyNumberFormat="1" applyFont="1" applyBorder="1" applyAlignment="1">
      <alignment horizontal="right" vertical="center"/>
      <protection/>
    </xf>
    <xf numFmtId="0" fontId="73" fillId="0" borderId="59" xfId="40" applyFont="1" applyBorder="1">
      <alignment vertical="center"/>
      <protection/>
    </xf>
    <xf numFmtId="201" fontId="73" fillId="0" borderId="55" xfId="40" applyNumberFormat="1" applyFont="1" applyBorder="1" applyAlignment="1">
      <alignment horizontal="right" vertical="center"/>
      <protection/>
    </xf>
    <xf numFmtId="0" fontId="73" fillId="0" borderId="60" xfId="40" applyFont="1" applyBorder="1">
      <alignment vertical="center"/>
      <protection/>
    </xf>
    <xf numFmtId="0" fontId="73" fillId="0" borderId="56" xfId="40" applyFont="1" applyFill="1" applyBorder="1">
      <alignment vertical="center"/>
      <protection/>
    </xf>
    <xf numFmtId="0" fontId="75" fillId="0" borderId="55" xfId="40" applyFont="1" applyFill="1" applyBorder="1">
      <alignment vertical="center"/>
      <protection/>
    </xf>
    <xf numFmtId="0" fontId="75" fillId="0" borderId="60" xfId="40" applyFont="1" applyFill="1" applyBorder="1">
      <alignment vertical="center"/>
      <protection/>
    </xf>
    <xf numFmtId="207" fontId="75" fillId="0" borderId="42" xfId="40" applyNumberFormat="1" applyFont="1" applyFill="1" applyBorder="1">
      <alignment vertical="center"/>
      <protection/>
    </xf>
    <xf numFmtId="0" fontId="73" fillId="0" borderId="61" xfId="40" applyFont="1" applyBorder="1">
      <alignment vertical="center"/>
      <protection/>
    </xf>
    <xf numFmtId="0" fontId="73" fillId="0" borderId="62" xfId="40" applyFont="1" applyBorder="1">
      <alignment vertical="center"/>
      <protection/>
    </xf>
    <xf numFmtId="177" fontId="73" fillId="0" borderId="33" xfId="40" applyNumberFormat="1" applyFont="1" applyFill="1" applyBorder="1" applyAlignment="1">
      <alignment horizontal="left" vertical="center"/>
      <protection/>
    </xf>
    <xf numFmtId="0" fontId="73" fillId="0" borderId="63" xfId="40" applyFont="1" applyFill="1" applyBorder="1">
      <alignment vertical="center"/>
      <protection/>
    </xf>
    <xf numFmtId="0" fontId="75" fillId="0" borderId="51" xfId="40" applyFont="1" applyFill="1" applyBorder="1">
      <alignment vertical="center"/>
      <protection/>
    </xf>
    <xf numFmtId="0" fontId="75" fillId="0" borderId="50" xfId="40" applyFont="1" applyFill="1" applyBorder="1">
      <alignment vertical="center"/>
      <protection/>
    </xf>
    <xf numFmtId="206" fontId="73" fillId="0" borderId="64" xfId="40" applyNumberFormat="1" applyFont="1" applyBorder="1">
      <alignment vertical="center"/>
      <protection/>
    </xf>
    <xf numFmtId="206" fontId="73" fillId="0" borderId="0" xfId="40" applyNumberFormat="1" applyFont="1">
      <alignment vertical="center"/>
      <protection/>
    </xf>
    <xf numFmtId="206" fontId="76" fillId="0" borderId="43" xfId="40" applyNumberFormat="1" applyFont="1" applyBorder="1" applyAlignment="1">
      <alignment horizontal="center" vertical="center"/>
      <protection/>
    </xf>
    <xf numFmtId="206" fontId="73" fillId="0" borderId="36" xfId="40" applyNumberFormat="1" applyFont="1" applyBorder="1">
      <alignment vertical="center"/>
      <protection/>
    </xf>
    <xf numFmtId="206" fontId="73" fillId="0" borderId="65" xfId="40" applyNumberFormat="1" applyFont="1" applyBorder="1">
      <alignment vertical="center"/>
      <protection/>
    </xf>
    <xf numFmtId="206" fontId="73" fillId="0" borderId="66" xfId="40" applyNumberFormat="1" applyFont="1" applyBorder="1">
      <alignment vertical="center"/>
      <protection/>
    </xf>
    <xf numFmtId="206" fontId="73" fillId="0" borderId="53" xfId="40" applyNumberFormat="1" applyFont="1" applyBorder="1">
      <alignment vertical="center"/>
      <protection/>
    </xf>
    <xf numFmtId="206" fontId="73" fillId="0" borderId="58" xfId="40" applyNumberFormat="1" applyFont="1" applyBorder="1">
      <alignment vertical="center"/>
      <protection/>
    </xf>
    <xf numFmtId="206" fontId="73" fillId="0" borderId="58" xfId="40" applyNumberFormat="1" applyFont="1" applyFill="1" applyBorder="1">
      <alignment vertical="center"/>
      <protection/>
    </xf>
    <xf numFmtId="206" fontId="73" fillId="0" borderId="55" xfId="40" applyNumberFormat="1" applyFont="1" applyFill="1" applyBorder="1">
      <alignment vertical="center"/>
      <protection/>
    </xf>
    <xf numFmtId="206" fontId="73" fillId="0" borderId="0" xfId="40" applyNumberFormat="1" applyFont="1" applyFill="1">
      <alignment vertical="center"/>
      <protection/>
    </xf>
    <xf numFmtId="206" fontId="73" fillId="0" borderId="34" xfId="40" applyNumberFormat="1" applyFont="1" applyFill="1" applyBorder="1">
      <alignment vertical="center"/>
      <protection/>
    </xf>
    <xf numFmtId="206" fontId="73" fillId="0" borderId="35" xfId="40" applyNumberFormat="1" applyFont="1" applyFill="1" applyBorder="1">
      <alignment vertical="center"/>
      <protection/>
    </xf>
    <xf numFmtId="206" fontId="73" fillId="0" borderId="43" xfId="40" applyNumberFormat="1" applyFont="1" applyFill="1" applyBorder="1">
      <alignment vertical="center"/>
      <protection/>
    </xf>
    <xf numFmtId="206" fontId="73" fillId="0" borderId="31" xfId="40" applyNumberFormat="1" applyFont="1" applyFill="1" applyBorder="1">
      <alignment vertical="center"/>
      <protection/>
    </xf>
    <xf numFmtId="206" fontId="85" fillId="0" borderId="0" xfId="40" applyNumberFormat="1" applyFont="1" applyFill="1" applyBorder="1">
      <alignment vertical="center"/>
      <protection/>
    </xf>
    <xf numFmtId="206" fontId="75" fillId="0" borderId="35" xfId="40" applyNumberFormat="1" applyFont="1" applyFill="1" applyBorder="1" applyAlignment="1">
      <alignment vertical="center"/>
      <protection/>
    </xf>
    <xf numFmtId="206" fontId="75" fillId="0" borderId="44" xfId="40" applyNumberFormat="1" applyFont="1" applyFill="1" applyBorder="1" applyAlignment="1">
      <alignment vertical="center"/>
      <protection/>
    </xf>
    <xf numFmtId="206" fontId="73" fillId="0" borderId="33" xfId="40" applyNumberFormat="1" applyFont="1" applyFill="1" applyBorder="1">
      <alignment vertical="center"/>
      <protection/>
    </xf>
    <xf numFmtId="206" fontId="73" fillId="0" borderId="0" xfId="40" applyNumberFormat="1" applyFont="1" applyFill="1" applyBorder="1">
      <alignment vertical="center"/>
      <protection/>
    </xf>
    <xf numFmtId="206" fontId="73" fillId="0" borderId="34" xfId="40" applyNumberFormat="1" applyFont="1" applyFill="1" applyBorder="1" applyAlignment="1">
      <alignment vertical="center"/>
      <protection/>
    </xf>
    <xf numFmtId="206" fontId="73" fillId="0" borderId="35" xfId="40" applyNumberFormat="1" applyFont="1" applyFill="1" applyBorder="1" applyAlignment="1">
      <alignment vertical="center"/>
      <protection/>
    </xf>
    <xf numFmtId="206" fontId="76" fillId="0" borderId="44" xfId="40" applyNumberFormat="1" applyFont="1" applyFill="1" applyBorder="1">
      <alignment vertical="center"/>
      <protection/>
    </xf>
    <xf numFmtId="206" fontId="76" fillId="0" borderId="25" xfId="40" applyNumberFormat="1" applyFont="1" applyFill="1" applyBorder="1">
      <alignment vertical="center"/>
      <protection/>
    </xf>
    <xf numFmtId="225" fontId="75" fillId="0" borderId="52" xfId="40" applyNumberFormat="1" applyFont="1" applyFill="1" applyBorder="1">
      <alignment vertical="center"/>
      <protection/>
    </xf>
    <xf numFmtId="0" fontId="73" fillId="0" borderId="33" xfId="40" applyFont="1" applyBorder="1" applyAlignment="1">
      <alignment horizontal="left" vertical="center"/>
      <protection/>
    </xf>
    <xf numFmtId="0" fontId="75" fillId="35" borderId="67" xfId="40" applyFont="1" applyFill="1" applyBorder="1">
      <alignment vertical="center"/>
      <protection/>
    </xf>
    <xf numFmtId="0" fontId="75" fillId="35" borderId="68" xfId="40" applyFont="1" applyFill="1" applyBorder="1">
      <alignment vertical="center"/>
      <protection/>
    </xf>
    <xf numFmtId="207" fontId="75" fillId="35" borderId="67" xfId="40" applyNumberFormat="1" applyFont="1" applyFill="1" applyBorder="1">
      <alignment vertical="center"/>
      <protection/>
    </xf>
    <xf numFmtId="0" fontId="75" fillId="0" borderId="67" xfId="40" applyFont="1" applyFill="1" applyBorder="1">
      <alignment vertical="center"/>
      <protection/>
    </xf>
    <xf numFmtId="0" fontId="75" fillId="35" borderId="33" xfId="40" applyFont="1" applyFill="1" applyBorder="1" applyAlignment="1">
      <alignment horizontal="center" vertical="center"/>
      <protection/>
    </xf>
    <xf numFmtId="0" fontId="75" fillId="35" borderId="67" xfId="40" applyFont="1" applyFill="1" applyBorder="1" applyAlignment="1">
      <alignment horizontal="center" vertical="center"/>
      <protection/>
    </xf>
    <xf numFmtId="0" fontId="73" fillId="0" borderId="69" xfId="40" applyFont="1" applyBorder="1" applyAlignment="1">
      <alignment horizontal="center" vertical="center"/>
      <protection/>
    </xf>
    <xf numFmtId="0" fontId="73" fillId="0" borderId="60" xfId="40" applyFont="1" applyBorder="1" applyAlignment="1">
      <alignment horizontal="center" vertical="center"/>
      <protection/>
    </xf>
    <xf numFmtId="201" fontId="73" fillId="0" borderId="70" xfId="40" applyNumberFormat="1" applyFont="1" applyBorder="1" applyAlignment="1">
      <alignment horizontal="right" vertical="center"/>
      <protection/>
    </xf>
    <xf numFmtId="201" fontId="73" fillId="0" borderId="64" xfId="40" applyNumberFormat="1" applyFont="1" applyBorder="1" applyAlignment="1">
      <alignment horizontal="right" vertical="center"/>
      <protection/>
    </xf>
    <xf numFmtId="177" fontId="73" fillId="0" borderId="42" xfId="40" applyNumberFormat="1" applyFont="1" applyFill="1" applyBorder="1">
      <alignment vertical="center"/>
      <protection/>
    </xf>
    <xf numFmtId="0" fontId="73" fillId="0" borderId="42" xfId="40" applyFont="1" applyFill="1" applyBorder="1" applyAlignment="1">
      <alignment horizontal="center" vertical="center"/>
      <protection/>
    </xf>
    <xf numFmtId="201" fontId="75" fillId="35" borderId="70" xfId="40" applyNumberFormat="1" applyFont="1" applyFill="1" applyBorder="1" applyAlignment="1">
      <alignment horizontal="right" vertical="center"/>
      <protection/>
    </xf>
    <xf numFmtId="201" fontId="75" fillId="35" borderId="58" xfId="40" applyNumberFormat="1" applyFont="1" applyFill="1" applyBorder="1" applyAlignment="1">
      <alignment horizontal="right" vertical="center"/>
      <protection/>
    </xf>
    <xf numFmtId="0" fontId="75" fillId="35" borderId="53" xfId="40" applyFont="1" applyFill="1" applyBorder="1">
      <alignment vertical="center"/>
      <protection/>
    </xf>
    <xf numFmtId="0" fontId="75" fillId="35" borderId="58" xfId="40" applyFont="1" applyFill="1" applyBorder="1">
      <alignment vertical="center"/>
      <protection/>
    </xf>
    <xf numFmtId="0" fontId="75" fillId="35" borderId="71" xfId="40" applyFont="1" applyFill="1" applyBorder="1">
      <alignment vertical="center"/>
      <protection/>
    </xf>
    <xf numFmtId="201" fontId="75" fillId="0" borderId="70" xfId="40" applyNumberFormat="1" applyFont="1" applyFill="1" applyBorder="1" applyAlignment="1">
      <alignment horizontal="right" vertical="center"/>
      <protection/>
    </xf>
    <xf numFmtId="177" fontId="75" fillId="0" borderId="34" xfId="40" applyNumberFormat="1" applyFont="1" applyFill="1" applyBorder="1">
      <alignment vertical="center"/>
      <protection/>
    </xf>
    <xf numFmtId="0" fontId="75" fillId="0" borderId="33" xfId="40" applyFont="1" applyFill="1" applyBorder="1" applyAlignment="1">
      <alignment horizontal="center" vertical="center"/>
      <protection/>
    </xf>
    <xf numFmtId="201" fontId="75" fillId="0" borderId="58" xfId="40" applyNumberFormat="1" applyFont="1" applyFill="1" applyBorder="1" applyAlignment="1">
      <alignment horizontal="right" vertical="center"/>
      <protection/>
    </xf>
    <xf numFmtId="0" fontId="13" fillId="0" borderId="31" xfId="40" applyFont="1" applyFill="1" applyBorder="1">
      <alignment vertical="center"/>
      <protection/>
    </xf>
    <xf numFmtId="201" fontId="75" fillId="0" borderId="64" xfId="40" applyNumberFormat="1" applyFont="1" applyFill="1" applyBorder="1" applyAlignment="1">
      <alignment horizontal="right" vertical="center"/>
      <protection/>
    </xf>
    <xf numFmtId="205" fontId="75" fillId="0" borderId="42" xfId="40" applyNumberFormat="1" applyFont="1" applyFill="1" applyBorder="1">
      <alignment vertical="center"/>
      <protection/>
    </xf>
    <xf numFmtId="177" fontId="75" fillId="35" borderId="42" xfId="40" applyNumberFormat="1" applyFont="1" applyFill="1" applyBorder="1">
      <alignment vertical="center"/>
      <protection/>
    </xf>
    <xf numFmtId="177" fontId="73" fillId="0" borderId="42" xfId="40" applyNumberFormat="1" applyFont="1" applyFill="1" applyBorder="1" applyAlignment="1">
      <alignment horizontal="left" vertical="center"/>
      <protection/>
    </xf>
    <xf numFmtId="0" fontId="73" fillId="0" borderId="42" xfId="40" applyFont="1" applyBorder="1">
      <alignment vertical="center"/>
      <protection/>
    </xf>
    <xf numFmtId="0" fontId="73" fillId="0" borderId="42" xfId="40" applyFont="1" applyBorder="1" applyAlignment="1">
      <alignment horizontal="center" vertical="center"/>
      <protection/>
    </xf>
    <xf numFmtId="206" fontId="73" fillId="0" borderId="70" xfId="40" applyNumberFormat="1" applyFont="1" applyBorder="1">
      <alignment vertical="center"/>
      <protection/>
    </xf>
    <xf numFmtId="0" fontId="75" fillId="0" borderId="25" xfId="40" applyFont="1" applyFill="1" applyBorder="1">
      <alignment vertical="center"/>
      <protection/>
    </xf>
    <xf numFmtId="0" fontId="75" fillId="0" borderId="45" xfId="40" applyFont="1" applyFill="1" applyBorder="1">
      <alignment vertical="center"/>
      <protection/>
    </xf>
    <xf numFmtId="201" fontId="75" fillId="0" borderId="51" xfId="40" applyNumberFormat="1" applyFont="1" applyFill="1" applyBorder="1" applyAlignment="1">
      <alignment horizontal="right" vertical="center"/>
      <protection/>
    </xf>
    <xf numFmtId="0" fontId="73" fillId="0" borderId="33" xfId="40" applyFont="1" applyFill="1" applyBorder="1" applyAlignment="1">
      <alignment horizontal="center" vertical="center"/>
      <protection/>
    </xf>
    <xf numFmtId="201" fontId="73" fillId="0" borderId="51" xfId="40" applyNumberFormat="1" applyFont="1" applyFill="1" applyBorder="1" applyAlignment="1">
      <alignment horizontal="right" vertical="center"/>
      <protection/>
    </xf>
    <xf numFmtId="0" fontId="73" fillId="0" borderId="40" xfId="40" applyFont="1" applyFill="1" applyBorder="1" applyAlignment="1">
      <alignment vertical="center"/>
      <protection/>
    </xf>
    <xf numFmtId="0" fontId="73" fillId="0" borderId="37" xfId="40" applyFont="1" applyFill="1" applyBorder="1" applyAlignment="1">
      <alignment vertical="center"/>
      <protection/>
    </xf>
    <xf numFmtId="0" fontId="73" fillId="0" borderId="51" xfId="40" applyFont="1" applyFill="1" applyBorder="1" applyAlignment="1">
      <alignment vertical="center"/>
      <protection/>
    </xf>
    <xf numFmtId="0" fontId="73" fillId="0" borderId="50" xfId="40" applyFont="1" applyFill="1" applyBorder="1" applyAlignment="1">
      <alignment vertical="center"/>
      <protection/>
    </xf>
    <xf numFmtId="0" fontId="73" fillId="0" borderId="29" xfId="40" applyFont="1" applyFill="1" applyBorder="1" applyAlignment="1">
      <alignment vertical="center"/>
      <protection/>
    </xf>
    <xf numFmtId="0" fontId="73" fillId="0" borderId="27" xfId="40" applyFont="1" applyFill="1" applyBorder="1" applyAlignment="1">
      <alignment vertical="center"/>
      <protection/>
    </xf>
    <xf numFmtId="0" fontId="73" fillId="0" borderId="39" xfId="40" applyFont="1" applyFill="1" applyBorder="1" applyAlignment="1">
      <alignment vertical="center"/>
      <protection/>
    </xf>
    <xf numFmtId="0" fontId="73" fillId="0" borderId="38" xfId="40" applyFont="1" applyFill="1" applyBorder="1" applyAlignment="1">
      <alignment vertical="center"/>
      <protection/>
    </xf>
    <xf numFmtId="206" fontId="73" fillId="0" borderId="42" xfId="40" applyNumberFormat="1" applyFont="1" applyFill="1" applyBorder="1">
      <alignment vertical="center"/>
      <protection/>
    </xf>
    <xf numFmtId="223" fontId="7" fillId="0" borderId="12" xfId="0" applyNumberFormat="1" applyFont="1" applyBorder="1" applyAlignment="1">
      <alignment vertical="center"/>
    </xf>
    <xf numFmtId="0" fontId="76" fillId="0" borderId="43" xfId="40" applyFont="1" applyBorder="1">
      <alignment vertical="center"/>
      <protection/>
    </xf>
    <xf numFmtId="0" fontId="76" fillId="0" borderId="47" xfId="40" applyFont="1" applyBorder="1">
      <alignment vertical="center"/>
      <protection/>
    </xf>
    <xf numFmtId="0" fontId="75" fillId="0" borderId="44" xfId="40" applyFont="1" applyBorder="1">
      <alignment vertical="center"/>
      <protection/>
    </xf>
    <xf numFmtId="0" fontId="75" fillId="0" borderId="46" xfId="40" applyFont="1" applyBorder="1">
      <alignment vertical="center"/>
      <protection/>
    </xf>
    <xf numFmtId="0" fontId="86" fillId="38" borderId="0" xfId="0" applyFont="1" applyFill="1" applyAlignment="1">
      <alignment horizontal="center"/>
    </xf>
    <xf numFmtId="0" fontId="87" fillId="39" borderId="12" xfId="0" applyFont="1" applyFill="1" applyBorder="1" applyAlignment="1">
      <alignment horizontal="center" vertical="center"/>
    </xf>
    <xf numFmtId="0" fontId="87" fillId="39" borderId="43" xfId="0" applyFont="1" applyFill="1" applyBorder="1" applyAlignment="1">
      <alignment horizontal="center" vertical="center"/>
    </xf>
    <xf numFmtId="0" fontId="87" fillId="39" borderId="72" xfId="0" applyFont="1" applyFill="1" applyBorder="1" applyAlignment="1">
      <alignment horizontal="center" vertical="center"/>
    </xf>
    <xf numFmtId="0" fontId="87" fillId="39" borderId="73" xfId="0" applyFont="1" applyFill="1" applyBorder="1" applyAlignment="1">
      <alignment horizontal="center" vertical="center"/>
    </xf>
    <xf numFmtId="0" fontId="86" fillId="38" borderId="4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77" xfId="0" applyBorder="1" applyAlignment="1">
      <alignment/>
    </xf>
    <xf numFmtId="0" fontId="86" fillId="38" borderId="44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86" fillId="38" borderId="0" xfId="0" applyFont="1" applyFill="1" applyBorder="1" applyAlignment="1">
      <alignment horizontal="center"/>
    </xf>
    <xf numFmtId="0" fontId="86" fillId="38" borderId="78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0" fontId="86" fillId="38" borderId="79" xfId="0" applyFont="1" applyFill="1" applyBorder="1" applyAlignment="1">
      <alignment horizontal="center"/>
    </xf>
    <xf numFmtId="41" fontId="0" fillId="0" borderId="80" xfId="60" applyFont="1" applyBorder="1" applyAlignment="1">
      <alignment/>
    </xf>
    <xf numFmtId="0" fontId="86" fillId="38" borderId="81" xfId="0" applyFont="1" applyFill="1" applyBorder="1" applyAlignment="1">
      <alignment horizontal="center"/>
    </xf>
    <xf numFmtId="41" fontId="0" fillId="0" borderId="82" xfId="60" applyFont="1" applyBorder="1" applyAlignment="1">
      <alignment/>
    </xf>
    <xf numFmtId="0" fontId="86" fillId="38" borderId="49" xfId="0" applyFont="1" applyFill="1" applyBorder="1" applyAlignment="1">
      <alignment horizontal="center"/>
    </xf>
    <xf numFmtId="0" fontId="86" fillId="38" borderId="83" xfId="0" applyFont="1" applyFill="1" applyBorder="1" applyAlignment="1">
      <alignment horizontal="center"/>
    </xf>
    <xf numFmtId="9" fontId="0" fillId="0" borderId="80" xfId="0" applyNumberFormat="1" applyBorder="1" applyAlignment="1">
      <alignment/>
    </xf>
    <xf numFmtId="9" fontId="0" fillId="0" borderId="82" xfId="0" applyNumberFormat="1" applyBorder="1" applyAlignment="1">
      <alignment/>
    </xf>
    <xf numFmtId="0" fontId="0" fillId="0" borderId="68" xfId="0" applyBorder="1" applyAlignment="1">
      <alignment/>
    </xf>
    <xf numFmtId="0" fontId="86" fillId="38" borderId="84" xfId="0" applyFont="1" applyFill="1" applyBorder="1" applyAlignment="1">
      <alignment horizontal="center"/>
    </xf>
    <xf numFmtId="0" fontId="86" fillId="38" borderId="85" xfId="0" applyFont="1" applyFill="1" applyBorder="1" applyAlignment="1">
      <alignment horizontal="center"/>
    </xf>
    <xf numFmtId="41" fontId="0" fillId="0" borderId="86" xfId="60" applyFont="1" applyBorder="1" applyAlignment="1">
      <alignment/>
    </xf>
    <xf numFmtId="0" fontId="86" fillId="38" borderId="0" xfId="0" applyFont="1" applyFill="1" applyBorder="1" applyAlignment="1">
      <alignment horizontal="center" vertical="center"/>
    </xf>
    <xf numFmtId="41" fontId="0" fillId="0" borderId="12" xfId="0" applyNumberFormat="1" applyBorder="1" applyAlignment="1">
      <alignment/>
    </xf>
    <xf numFmtId="204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42" xfId="0" applyNumberFormat="1" applyBorder="1" applyAlignment="1">
      <alignment/>
    </xf>
    <xf numFmtId="41" fontId="0" fillId="0" borderId="49" xfId="0" applyNumberFormat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6" fontId="19" fillId="35" borderId="87" xfId="60" applyNumberFormat="1" applyFont="1" applyFill="1" applyBorder="1" applyAlignment="1">
      <alignment horizontal="right" vertical="top" wrapText="1"/>
    </xf>
    <xf numFmtId="176" fontId="19" fillId="35" borderId="88" xfId="60" applyNumberFormat="1" applyFont="1" applyFill="1" applyBorder="1" applyAlignment="1">
      <alignment horizontal="right" vertical="top" wrapText="1"/>
    </xf>
    <xf numFmtId="176" fontId="19" fillId="35" borderId="89" xfId="60" applyNumberFormat="1" applyFont="1" applyFill="1" applyBorder="1" applyAlignment="1">
      <alignment horizontal="right" vertical="top" wrapText="1"/>
    </xf>
    <xf numFmtId="176" fontId="19" fillId="35" borderId="87" xfId="60" applyNumberFormat="1" applyFont="1" applyFill="1" applyBorder="1" applyAlignment="1">
      <alignment horizontal="right" wrapText="1"/>
    </xf>
    <xf numFmtId="176" fontId="19" fillId="35" borderId="90" xfId="60" applyNumberFormat="1" applyFont="1" applyFill="1" applyBorder="1" applyAlignment="1">
      <alignment horizontal="right" wrapText="1"/>
    </xf>
    <xf numFmtId="223" fontId="10" fillId="0" borderId="10" xfId="0" applyNumberFormat="1" applyFont="1" applyBorder="1" applyAlignment="1">
      <alignment vertical="center"/>
    </xf>
    <xf numFmtId="223" fontId="10" fillId="0" borderId="10" xfId="60" applyNumberFormat="1" applyFont="1" applyBorder="1" applyAlignment="1">
      <alignment vertical="center"/>
    </xf>
    <xf numFmtId="223" fontId="7" fillId="0" borderId="0" xfId="0" applyNumberFormat="1" applyFont="1" applyAlignment="1">
      <alignment vertical="center"/>
    </xf>
    <xf numFmtId="41" fontId="7" fillId="0" borderId="0" xfId="60" applyFont="1" applyAlignment="1">
      <alignment horizontal="center" vertical="center" wrapText="1"/>
    </xf>
    <xf numFmtId="0" fontId="88" fillId="0" borderId="0" xfId="40" applyFont="1" applyAlignment="1">
      <alignment horizontal="left" vertical="center"/>
      <protection/>
    </xf>
    <xf numFmtId="198" fontId="73" fillId="0" borderId="28" xfId="60" applyNumberFormat="1" applyFont="1" applyFill="1" applyBorder="1" applyAlignment="1">
      <alignment vertical="center"/>
    </xf>
    <xf numFmtId="0" fontId="84" fillId="0" borderId="28" xfId="40" applyFont="1" applyFill="1" applyBorder="1" applyAlignment="1">
      <alignment horizontal="center" vertical="center"/>
      <protection/>
    </xf>
    <xf numFmtId="1" fontId="7" fillId="0" borderId="0" xfId="0" applyNumberFormat="1" applyFont="1" applyAlignment="1">
      <alignment vertical="center"/>
    </xf>
    <xf numFmtId="0" fontId="73" fillId="0" borderId="0" xfId="40" applyFont="1" applyFill="1">
      <alignment vertical="center"/>
      <protection/>
    </xf>
    <xf numFmtId="43" fontId="76" fillId="0" borderId="10" xfId="40" applyNumberFormat="1" applyFont="1" applyBorder="1">
      <alignment vertical="center"/>
      <protection/>
    </xf>
    <xf numFmtId="0" fontId="75" fillId="0" borderId="33" xfId="40" applyFont="1" applyFill="1" applyBorder="1" applyAlignment="1">
      <alignment horizontal="center" vertical="center"/>
      <protection/>
    </xf>
    <xf numFmtId="201" fontId="75" fillId="0" borderId="64" xfId="40" applyNumberFormat="1" applyFont="1" applyFill="1" applyBorder="1" applyAlignment="1">
      <alignment horizontal="right" vertical="center"/>
      <protection/>
    </xf>
    <xf numFmtId="0" fontId="73" fillId="0" borderId="0" xfId="40" applyFont="1" applyFill="1">
      <alignment vertical="center"/>
      <protection/>
    </xf>
    <xf numFmtId="223" fontId="7" fillId="0" borderId="0" xfId="0" applyNumberFormat="1" applyFont="1" applyAlignment="1">
      <alignment horizontal="center" vertical="center"/>
    </xf>
    <xf numFmtId="205" fontId="75" fillId="0" borderId="33" xfId="40" applyNumberFormat="1" applyFont="1" applyFill="1" applyBorder="1">
      <alignment vertical="center"/>
      <protection/>
    </xf>
    <xf numFmtId="177" fontId="75" fillId="0" borderId="33" xfId="40" applyNumberFormat="1" applyFont="1" applyFill="1" applyBorder="1">
      <alignment vertical="center"/>
      <protection/>
    </xf>
    <xf numFmtId="207" fontId="75" fillId="0" borderId="33" xfId="40" applyNumberFormat="1" applyFont="1" applyFill="1" applyBorder="1">
      <alignment vertical="center"/>
      <protection/>
    </xf>
    <xf numFmtId="0" fontId="75" fillId="0" borderId="64" xfId="40" applyFont="1" applyFill="1" applyBorder="1">
      <alignment vertical="center"/>
      <protection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40" applyFont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92" fillId="0" borderId="10" xfId="40" applyFont="1" applyBorder="1">
      <alignment vertical="center"/>
      <protection/>
    </xf>
    <xf numFmtId="0" fontId="92" fillId="0" borderId="11" xfId="40" applyFont="1" applyBorder="1">
      <alignment vertical="center"/>
      <protection/>
    </xf>
    <xf numFmtId="0" fontId="76" fillId="0" borderId="24" xfId="40" applyFont="1" applyFill="1" applyBorder="1" applyAlignment="1">
      <alignment horizontal="right" vertical="center"/>
      <protection/>
    </xf>
    <xf numFmtId="0" fontId="76" fillId="0" borderId="41" xfId="40" applyFont="1" applyFill="1" applyBorder="1" applyAlignment="1">
      <alignment horizontal="right" vertical="center"/>
      <protection/>
    </xf>
    <xf numFmtId="0" fontId="76" fillId="0" borderId="47" xfId="40" applyFont="1" applyBorder="1" applyAlignment="1">
      <alignment horizontal="center" vertical="center"/>
      <protection/>
    </xf>
    <xf numFmtId="0" fontId="76" fillId="0" borderId="24" xfId="40" applyFont="1" applyBorder="1" applyAlignment="1">
      <alignment horizontal="center" vertical="center"/>
      <protection/>
    </xf>
    <xf numFmtId="0" fontId="76" fillId="0" borderId="10" xfId="40" applyFont="1" applyFill="1" applyBorder="1" applyAlignment="1">
      <alignment horizontal="right" vertical="center"/>
      <protection/>
    </xf>
    <xf numFmtId="0" fontId="76" fillId="0" borderId="11" xfId="40" applyFont="1" applyFill="1" applyBorder="1" applyAlignment="1">
      <alignment horizontal="right" vertical="center"/>
      <protection/>
    </xf>
    <xf numFmtId="0" fontId="76" fillId="0" borderId="16" xfId="40" applyFont="1" applyFill="1" applyBorder="1" applyAlignment="1">
      <alignment horizontal="right" vertical="center"/>
      <protection/>
    </xf>
    <xf numFmtId="0" fontId="92" fillId="0" borderId="10" xfId="40" applyFont="1" applyBorder="1" applyAlignment="1">
      <alignment horizontal="left" vertical="center"/>
      <protection/>
    </xf>
    <xf numFmtId="0" fontId="92" fillId="0" borderId="11" xfId="40" applyFont="1" applyBorder="1" applyAlignment="1">
      <alignment horizontal="left" vertical="center"/>
      <protection/>
    </xf>
    <xf numFmtId="0" fontId="76" fillId="0" borderId="11" xfId="40" applyFont="1" applyFill="1" applyBorder="1" applyAlignment="1">
      <alignment horizontal="center" vertical="center"/>
      <protection/>
    </xf>
    <xf numFmtId="0" fontId="76" fillId="0" borderId="16" xfId="40" applyFont="1" applyFill="1" applyBorder="1" applyAlignment="1">
      <alignment horizontal="center" vertical="center"/>
      <protection/>
    </xf>
    <xf numFmtId="0" fontId="85" fillId="0" borderId="47" xfId="40" applyFont="1" applyBorder="1" applyAlignment="1">
      <alignment horizontal="center" vertical="center"/>
      <protection/>
    </xf>
    <xf numFmtId="0" fontId="85" fillId="0" borderId="24" xfId="40" applyFont="1" applyBorder="1" applyAlignment="1">
      <alignment horizontal="center" vertical="center"/>
      <protection/>
    </xf>
    <xf numFmtId="0" fontId="85" fillId="0" borderId="41" xfId="40" applyFont="1" applyBorder="1" applyAlignment="1">
      <alignment horizontal="center" vertical="center"/>
      <protection/>
    </xf>
    <xf numFmtId="0" fontId="76" fillId="0" borderId="47" xfId="40" applyFont="1" applyBorder="1" applyAlignment="1">
      <alignment horizontal="center" vertical="center" wrapText="1"/>
      <protection/>
    </xf>
    <xf numFmtId="0" fontId="76" fillId="0" borderId="24" xfId="40" applyFont="1" applyBorder="1" applyAlignment="1">
      <alignment horizontal="center" vertical="center" wrapText="1"/>
      <protection/>
    </xf>
    <xf numFmtId="0" fontId="76" fillId="0" borderId="41" xfId="40" applyFont="1" applyBorder="1" applyAlignment="1">
      <alignment horizontal="center" vertical="center" wrapText="1"/>
      <protection/>
    </xf>
    <xf numFmtId="209" fontId="73" fillId="0" borderId="0" xfId="40" applyNumberFormat="1" applyFont="1">
      <alignment vertical="center"/>
      <protection/>
    </xf>
    <xf numFmtId="234" fontId="75" fillId="0" borderId="36" xfId="40" applyNumberFormat="1" applyFont="1" applyBorder="1">
      <alignment vertical="center"/>
      <protection/>
    </xf>
    <xf numFmtId="235" fontId="76" fillId="0" borderId="43" xfId="40" applyNumberFormat="1" applyFont="1" applyBorder="1" applyAlignment="1">
      <alignment horizontal="center" vertical="center"/>
      <protection/>
    </xf>
    <xf numFmtId="235" fontId="75" fillId="35" borderId="34" xfId="40" applyNumberFormat="1" applyFont="1" applyFill="1" applyBorder="1">
      <alignment vertical="center"/>
      <protection/>
    </xf>
    <xf numFmtId="235" fontId="75" fillId="0" borderId="36" xfId="40" applyNumberFormat="1" applyFont="1" applyBorder="1">
      <alignment vertical="center"/>
      <protection/>
    </xf>
    <xf numFmtId="235" fontId="73" fillId="0" borderId="34" xfId="40" applyNumberFormat="1" applyFont="1" applyFill="1" applyBorder="1">
      <alignment vertical="center"/>
      <protection/>
    </xf>
    <xf numFmtId="235" fontId="73" fillId="0" borderId="46" xfId="40" applyNumberFormat="1" applyFont="1" applyFill="1" applyBorder="1">
      <alignment vertical="center"/>
      <protection/>
    </xf>
    <xf numFmtId="235" fontId="73" fillId="0" borderId="91" xfId="40" applyNumberFormat="1" applyFont="1" applyFill="1" applyBorder="1">
      <alignment vertical="center"/>
      <protection/>
    </xf>
    <xf numFmtId="235" fontId="73" fillId="0" borderId="59" xfId="40" applyNumberFormat="1" applyFont="1" applyFill="1" applyBorder="1">
      <alignment vertical="center"/>
      <protection/>
    </xf>
    <xf numFmtId="235" fontId="73" fillId="0" borderId="60" xfId="40" applyNumberFormat="1" applyFont="1" applyFill="1" applyBorder="1">
      <alignment vertical="center"/>
      <protection/>
    </xf>
    <xf numFmtId="235" fontId="73" fillId="0" borderId="35" xfId="40" applyNumberFormat="1" applyFont="1" applyFill="1" applyBorder="1">
      <alignment vertical="center"/>
      <protection/>
    </xf>
    <xf numFmtId="235" fontId="73" fillId="0" borderId="0" xfId="40" applyNumberFormat="1" applyFont="1" applyFill="1">
      <alignment vertical="center"/>
      <protection/>
    </xf>
    <xf numFmtId="235" fontId="73" fillId="0" borderId="41" xfId="40" applyNumberFormat="1" applyFont="1" applyFill="1" applyBorder="1">
      <alignment vertical="center"/>
      <protection/>
    </xf>
    <xf numFmtId="235" fontId="73" fillId="0" borderId="31" xfId="40" applyNumberFormat="1" applyFont="1" applyFill="1" applyBorder="1">
      <alignment vertical="center"/>
      <protection/>
    </xf>
    <xf numFmtId="235" fontId="85" fillId="0" borderId="0" xfId="40" applyNumberFormat="1" applyFont="1" applyFill="1" applyBorder="1">
      <alignment vertical="center"/>
      <protection/>
    </xf>
    <xf numFmtId="235" fontId="73" fillId="0" borderId="37" xfId="40" applyNumberFormat="1" applyFont="1" applyFill="1" applyBorder="1">
      <alignment vertical="center"/>
      <protection/>
    </xf>
    <xf numFmtId="235" fontId="75" fillId="0" borderId="44" xfId="40" applyNumberFormat="1" applyFont="1" applyFill="1" applyBorder="1">
      <alignment vertical="center"/>
      <protection/>
    </xf>
    <xf numFmtId="235" fontId="73" fillId="0" borderId="33" xfId="40" applyNumberFormat="1" applyFont="1" applyFill="1" applyBorder="1">
      <alignment vertical="center"/>
      <protection/>
    </xf>
    <xf numFmtId="235" fontId="73" fillId="0" borderId="28" xfId="40" applyNumberFormat="1" applyFont="1" applyFill="1" applyBorder="1">
      <alignment vertical="center"/>
      <protection/>
    </xf>
    <xf numFmtId="235" fontId="75" fillId="0" borderId="0" xfId="40" applyNumberFormat="1" applyFont="1" applyFill="1" applyBorder="1">
      <alignment vertical="center"/>
      <protection/>
    </xf>
    <xf numFmtId="235" fontId="75" fillId="0" borderId="34" xfId="40" applyNumberFormat="1" applyFont="1" applyFill="1" applyBorder="1">
      <alignment vertical="center"/>
      <protection/>
    </xf>
    <xf numFmtId="235" fontId="75" fillId="0" borderId="31" xfId="40" applyNumberFormat="1" applyFont="1" applyFill="1" applyBorder="1">
      <alignment vertical="center"/>
      <protection/>
    </xf>
    <xf numFmtId="235" fontId="75" fillId="0" borderId="33" xfId="40" applyNumberFormat="1" applyFont="1" applyFill="1" applyBorder="1">
      <alignment vertical="center"/>
      <protection/>
    </xf>
    <xf numFmtId="235" fontId="76" fillId="0" borderId="44" xfId="40" applyNumberFormat="1" applyFont="1" applyFill="1" applyBorder="1">
      <alignment vertical="center"/>
      <protection/>
    </xf>
    <xf numFmtId="235" fontId="76" fillId="0" borderId="45" xfId="40" applyNumberFormat="1" applyFont="1" applyFill="1" applyBorder="1">
      <alignment vertical="center"/>
      <protection/>
    </xf>
    <xf numFmtId="235" fontId="75" fillId="0" borderId="0" xfId="40" applyNumberFormat="1" applyFont="1">
      <alignment vertical="center"/>
      <protection/>
    </xf>
    <xf numFmtId="0" fontId="76" fillId="0" borderId="10" xfId="40" applyFont="1" applyFill="1" applyBorder="1" applyAlignment="1">
      <alignment horizontal="center" vertical="center"/>
      <protection/>
    </xf>
    <xf numFmtId="0" fontId="76" fillId="0" borderId="41" xfId="40" applyFont="1" applyBorder="1" applyAlignment="1">
      <alignment horizontal="center" vertical="center"/>
      <protection/>
    </xf>
    <xf numFmtId="177" fontId="92" fillId="0" borderId="11" xfId="40" applyNumberFormat="1" applyFont="1" applyBorder="1">
      <alignment vertical="center"/>
      <protection/>
    </xf>
    <xf numFmtId="177" fontId="92" fillId="0" borderId="92" xfId="40" applyNumberFormat="1" applyFont="1" applyBorder="1">
      <alignment vertical="center"/>
      <protection/>
    </xf>
    <xf numFmtId="0" fontId="66" fillId="0" borderId="0" xfId="68" applyBorder="1" applyAlignment="1">
      <alignment horizontal="center" vertical="center"/>
    </xf>
    <xf numFmtId="0" fontId="73" fillId="0" borderId="12" xfId="40" applyFont="1" applyFill="1" applyBorder="1">
      <alignment vertical="center"/>
      <protection/>
    </xf>
    <xf numFmtId="0" fontId="73" fillId="0" borderId="0" xfId="40" applyFont="1" applyFill="1">
      <alignment vertical="center"/>
      <protection/>
    </xf>
    <xf numFmtId="0" fontId="7" fillId="0" borderId="0" xfId="0" applyFont="1" applyBorder="1" applyAlignment="1">
      <alignment horizontal="center" vertical="center"/>
    </xf>
    <xf numFmtId="223" fontId="7" fillId="0" borderId="0" xfId="0" applyNumberFormat="1" applyFont="1" applyBorder="1" applyAlignment="1">
      <alignment horizontal="center" vertical="center"/>
    </xf>
    <xf numFmtId="223" fontId="7" fillId="0" borderId="79" xfId="0" applyNumberFormat="1" applyFont="1" applyBorder="1" applyAlignment="1">
      <alignment vertical="center"/>
    </xf>
    <xf numFmtId="223" fontId="7" fillId="0" borderId="80" xfId="0" applyNumberFormat="1" applyFont="1" applyBorder="1" applyAlignment="1">
      <alignment vertical="center"/>
    </xf>
    <xf numFmtId="223" fontId="7" fillId="0" borderId="85" xfId="0" applyNumberFormat="1" applyFont="1" applyBorder="1" applyAlignment="1">
      <alignment vertical="center"/>
    </xf>
    <xf numFmtId="223" fontId="7" fillId="0" borderId="86" xfId="0" applyNumberFormat="1" applyFont="1" applyBorder="1" applyAlignment="1">
      <alignment vertical="center"/>
    </xf>
    <xf numFmtId="223" fontId="7" fillId="0" borderId="81" xfId="0" applyNumberFormat="1" applyFont="1" applyBorder="1" applyAlignment="1">
      <alignment vertical="center"/>
    </xf>
    <xf numFmtId="223" fontId="7" fillId="0" borderId="82" xfId="0" applyNumberFormat="1" applyFont="1" applyBorder="1" applyAlignment="1">
      <alignment vertical="center"/>
    </xf>
    <xf numFmtId="223" fontId="7" fillId="0" borderId="93" xfId="0" applyNumberFormat="1" applyFont="1" applyBorder="1" applyAlignment="1">
      <alignment vertical="center"/>
    </xf>
    <xf numFmtId="223" fontId="7" fillId="0" borderId="94" xfId="0" applyNumberFormat="1" applyFont="1" applyBorder="1" applyAlignment="1">
      <alignment vertical="center"/>
    </xf>
    <xf numFmtId="0" fontId="8" fillId="40" borderId="49" xfId="0" applyFont="1" applyFill="1" applyBorder="1" applyAlignment="1">
      <alignment horizontal="center" vertical="center"/>
    </xf>
    <xf numFmtId="0" fontId="86" fillId="41" borderId="95" xfId="0" applyFont="1" applyFill="1" applyBorder="1" applyAlignment="1">
      <alignment horizontal="center"/>
    </xf>
    <xf numFmtId="0" fontId="86" fillId="41" borderId="83" xfId="0" applyFont="1" applyFill="1" applyBorder="1" applyAlignment="1">
      <alignment horizontal="center"/>
    </xf>
    <xf numFmtId="238" fontId="0" fillId="0" borderId="96" xfId="0" applyNumberFormat="1" applyBorder="1" applyAlignment="1">
      <alignment/>
    </xf>
    <xf numFmtId="238" fontId="0" fillId="0" borderId="97" xfId="0" applyNumberFormat="1" applyBorder="1" applyAlignment="1">
      <alignment/>
    </xf>
    <xf numFmtId="9" fontId="20" fillId="42" borderId="49" xfId="0" applyNumberFormat="1" applyFont="1" applyFill="1" applyBorder="1" applyAlignment="1">
      <alignment horizontal="center"/>
    </xf>
    <xf numFmtId="41" fontId="86" fillId="43" borderId="84" xfId="60" applyFont="1" applyFill="1" applyBorder="1" applyAlignment="1">
      <alignment/>
    </xf>
    <xf numFmtId="41" fontId="86" fillId="43" borderId="78" xfId="60" applyFont="1" applyFill="1" applyBorder="1" applyAlignment="1">
      <alignment/>
    </xf>
    <xf numFmtId="41" fontId="86" fillId="43" borderId="98" xfId="60" applyFont="1" applyFill="1" applyBorder="1" applyAlignment="1">
      <alignment/>
    </xf>
    <xf numFmtId="223" fontId="0" fillId="0" borderId="78" xfId="0" applyNumberFormat="1" applyBorder="1" applyAlignment="1">
      <alignment/>
    </xf>
    <xf numFmtId="223" fontId="0" fillId="0" borderId="98" xfId="0" applyNumberFormat="1" applyBorder="1" applyAlignment="1">
      <alignment/>
    </xf>
    <xf numFmtId="223" fontId="0" fillId="0" borderId="84" xfId="0" applyNumberFormat="1" applyBorder="1" applyAlignment="1">
      <alignment/>
    </xf>
    <xf numFmtId="238" fontId="0" fillId="0" borderId="84" xfId="0" applyNumberFormat="1" applyBorder="1" applyAlignment="1">
      <alignment/>
    </xf>
    <xf numFmtId="41" fontId="86" fillId="43" borderId="95" xfId="60" applyFont="1" applyFill="1" applyBorder="1" applyAlignment="1">
      <alignment/>
    </xf>
    <xf numFmtId="41" fontId="86" fillId="43" borderId="99" xfId="60" applyFont="1" applyFill="1" applyBorder="1" applyAlignment="1">
      <alignment/>
    </xf>
    <xf numFmtId="41" fontId="86" fillId="43" borderId="83" xfId="60" applyFont="1" applyFill="1" applyBorder="1" applyAlignment="1">
      <alignment/>
    </xf>
    <xf numFmtId="9" fontId="20" fillId="42" borderId="84" xfId="0" applyNumberFormat="1" applyFont="1" applyFill="1" applyBorder="1" applyAlignment="1">
      <alignment horizontal="center"/>
    </xf>
    <xf numFmtId="238" fontId="0" fillId="0" borderId="0" xfId="0" applyNumberFormat="1" applyBorder="1" applyAlignment="1">
      <alignment/>
    </xf>
    <xf numFmtId="238" fontId="0" fillId="0" borderId="95" xfId="0" applyNumberFormat="1" applyBorder="1" applyAlignment="1">
      <alignment/>
    </xf>
    <xf numFmtId="238" fontId="0" fillId="0" borderId="100" xfId="0" applyNumberFormat="1" applyBorder="1" applyAlignment="1">
      <alignment/>
    </xf>
    <xf numFmtId="238" fontId="0" fillId="0" borderId="101" xfId="0" applyNumberFormat="1" applyBorder="1" applyAlignment="1">
      <alignment/>
    </xf>
    <xf numFmtId="238" fontId="0" fillId="0" borderId="99" xfId="0" applyNumberFormat="1" applyBorder="1" applyAlignment="1">
      <alignment/>
    </xf>
    <xf numFmtId="238" fontId="0" fillId="0" borderId="83" xfId="0" applyNumberFormat="1" applyBorder="1" applyAlignment="1">
      <alignment/>
    </xf>
    <xf numFmtId="238" fontId="0" fillId="0" borderId="78" xfId="0" applyNumberFormat="1" applyBorder="1" applyAlignment="1">
      <alignment/>
    </xf>
    <xf numFmtId="238" fontId="0" fillId="0" borderId="98" xfId="0" applyNumberFormat="1" applyBorder="1" applyAlignment="1">
      <alignment/>
    </xf>
    <xf numFmtId="238" fontId="0" fillId="0" borderId="102" xfId="0" applyNumberFormat="1" applyBorder="1" applyAlignment="1">
      <alignment/>
    </xf>
    <xf numFmtId="238" fontId="0" fillId="0" borderId="103" xfId="0" applyNumberFormat="1" applyBorder="1" applyAlignment="1">
      <alignment/>
    </xf>
    <xf numFmtId="238" fontId="0" fillId="0" borderId="104" xfId="0" applyNumberFormat="1" applyBorder="1" applyAlignment="1">
      <alignment/>
    </xf>
    <xf numFmtId="0" fontId="0" fillId="0" borderId="100" xfId="0" applyBorder="1" applyAlignment="1">
      <alignment/>
    </xf>
    <xf numFmtId="0" fontId="91" fillId="0" borderId="0" xfId="40" applyFont="1" applyAlignment="1">
      <alignment horizontal="center" vertical="center"/>
      <protection/>
    </xf>
    <xf numFmtId="201" fontId="91" fillId="0" borderId="0" xfId="40" applyNumberFormat="1" applyFont="1" applyAlignment="1">
      <alignment horizontal="right" vertical="center"/>
      <protection/>
    </xf>
    <xf numFmtId="206" fontId="91" fillId="0" borderId="0" xfId="40" applyNumberFormat="1" applyFont="1">
      <alignment vertical="center"/>
      <protection/>
    </xf>
    <xf numFmtId="177" fontId="91" fillId="0" borderId="0" xfId="40" applyNumberFormat="1" applyFont="1">
      <alignment vertical="center"/>
      <protection/>
    </xf>
    <xf numFmtId="0" fontId="93" fillId="0" borderId="0" xfId="40" applyFont="1">
      <alignment vertical="center"/>
      <protection/>
    </xf>
    <xf numFmtId="235" fontId="93" fillId="0" borderId="0" xfId="40" applyNumberFormat="1" applyFont="1">
      <alignment vertical="center"/>
      <protection/>
    </xf>
    <xf numFmtId="0" fontId="92" fillId="0" borderId="36" xfId="40" applyFont="1" applyBorder="1">
      <alignment vertical="center"/>
      <protection/>
    </xf>
    <xf numFmtId="0" fontId="92" fillId="0" borderId="105" xfId="40" applyFont="1" applyBorder="1">
      <alignment vertical="center"/>
      <protection/>
    </xf>
    <xf numFmtId="0" fontId="76" fillId="0" borderId="36" xfId="40" applyFont="1" applyBorder="1">
      <alignment vertical="center"/>
      <protection/>
    </xf>
    <xf numFmtId="0" fontId="76" fillId="0" borderId="45" xfId="40" applyFont="1" applyBorder="1">
      <alignment vertical="center"/>
      <protection/>
    </xf>
    <xf numFmtId="0" fontId="73" fillId="0" borderId="42" xfId="40" applyFont="1" applyFill="1" applyBorder="1">
      <alignment vertical="center"/>
      <protection/>
    </xf>
    <xf numFmtId="0" fontId="91" fillId="0" borderId="12" xfId="40" applyFont="1" applyBorder="1">
      <alignment vertical="center"/>
      <protection/>
    </xf>
    <xf numFmtId="0" fontId="92" fillId="0" borderId="12" xfId="40" applyFont="1" applyBorder="1">
      <alignment vertical="center"/>
      <protection/>
    </xf>
    <xf numFmtId="205" fontId="91" fillId="0" borderId="12" xfId="40" applyNumberFormat="1" applyFont="1" applyBorder="1">
      <alignment vertical="center"/>
      <protection/>
    </xf>
    <xf numFmtId="0" fontId="73" fillId="0" borderId="12" xfId="40" applyFont="1" applyBorder="1">
      <alignment vertical="center"/>
      <protection/>
    </xf>
    <xf numFmtId="205" fontId="91" fillId="0" borderId="43" xfId="40" applyNumberFormat="1" applyFont="1" applyBorder="1">
      <alignment vertical="center"/>
      <protection/>
    </xf>
    <xf numFmtId="207" fontId="91" fillId="0" borderId="43" xfId="40" applyNumberFormat="1" applyFont="1" applyBorder="1">
      <alignment vertical="center"/>
      <protection/>
    </xf>
    <xf numFmtId="205" fontId="91" fillId="0" borderId="42" xfId="40" applyNumberFormat="1" applyFont="1" applyBorder="1">
      <alignment vertical="center"/>
      <protection/>
    </xf>
    <xf numFmtId="0" fontId="73" fillId="0" borderId="72" xfId="40" applyFont="1" applyBorder="1">
      <alignment vertical="center"/>
      <protection/>
    </xf>
    <xf numFmtId="0" fontId="76" fillId="0" borderId="72" xfId="40" applyFont="1" applyBorder="1">
      <alignment vertical="center"/>
      <protection/>
    </xf>
    <xf numFmtId="0" fontId="92" fillId="0" borderId="72" xfId="40" applyFont="1" applyBorder="1">
      <alignment vertical="center"/>
      <protection/>
    </xf>
    <xf numFmtId="0" fontId="91" fillId="0" borderId="72" xfId="40" applyFont="1" applyBorder="1">
      <alignment vertical="center"/>
      <protection/>
    </xf>
    <xf numFmtId="0" fontId="91" fillId="0" borderId="106" xfId="40" applyFont="1" applyBorder="1">
      <alignment vertical="center"/>
      <protection/>
    </xf>
    <xf numFmtId="0" fontId="91" fillId="0" borderId="107" xfId="40" applyFont="1" applyBorder="1">
      <alignment vertical="center"/>
      <protection/>
    </xf>
    <xf numFmtId="0" fontId="91" fillId="0" borderId="108" xfId="40" applyFont="1" applyBorder="1">
      <alignment vertical="center"/>
      <protection/>
    </xf>
    <xf numFmtId="0" fontId="73" fillId="0" borderId="72" xfId="40" applyFont="1" applyFill="1" applyBorder="1">
      <alignment vertical="center"/>
      <protection/>
    </xf>
    <xf numFmtId="223" fontId="0" fillId="0" borderId="109" xfId="52" applyNumberFormat="1" applyFont="1" applyBorder="1" applyAlignment="1">
      <alignment/>
    </xf>
    <xf numFmtId="223" fontId="0" fillId="0" borderId="97" xfId="52" applyNumberFormat="1" applyFont="1" applyBorder="1" applyAlignment="1">
      <alignment/>
    </xf>
    <xf numFmtId="9" fontId="20" fillId="42" borderId="98" xfId="0" applyNumberFormat="1" applyFont="1" applyFill="1" applyBorder="1" applyAlignment="1">
      <alignment horizontal="center"/>
    </xf>
    <xf numFmtId="41" fontId="0" fillId="0" borderId="95" xfId="60" applyFont="1" applyBorder="1" applyAlignment="1">
      <alignment/>
    </xf>
    <xf numFmtId="41" fontId="0" fillId="0" borderId="84" xfId="60" applyFont="1" applyBorder="1" applyAlignment="1">
      <alignment/>
    </xf>
    <xf numFmtId="41" fontId="0" fillId="0" borderId="99" xfId="60" applyFont="1" applyBorder="1" applyAlignment="1">
      <alignment/>
    </xf>
    <xf numFmtId="41" fontId="0" fillId="0" borderId="78" xfId="60" applyFont="1" applyBorder="1" applyAlignment="1">
      <alignment/>
    </xf>
    <xf numFmtId="41" fontId="0" fillId="0" borderId="83" xfId="60" applyFont="1" applyBorder="1" applyAlignment="1">
      <alignment/>
    </xf>
    <xf numFmtId="41" fontId="0" fillId="0" borderId="98" xfId="60" applyFont="1" applyBorder="1" applyAlignment="1">
      <alignment/>
    </xf>
    <xf numFmtId="223" fontId="0" fillId="0" borderId="0" xfId="0" applyNumberFormat="1" applyAlignment="1">
      <alignment/>
    </xf>
    <xf numFmtId="0" fontId="0" fillId="0" borderId="0" xfId="0" applyBorder="1" applyAlignment="1">
      <alignment/>
    </xf>
    <xf numFmtId="9" fontId="20" fillId="42" borderId="101" xfId="0" applyNumberFormat="1" applyFont="1" applyFill="1" applyBorder="1" applyAlignment="1">
      <alignment horizontal="center"/>
    </xf>
    <xf numFmtId="9" fontId="20" fillId="42" borderId="95" xfId="0" applyNumberFormat="1" applyFont="1" applyFill="1" applyBorder="1" applyAlignment="1">
      <alignment horizontal="center"/>
    </xf>
    <xf numFmtId="9" fontId="20" fillId="42" borderId="100" xfId="0" applyNumberFormat="1" applyFont="1" applyFill="1" applyBorder="1" applyAlignment="1">
      <alignment horizontal="center"/>
    </xf>
    <xf numFmtId="41" fontId="0" fillId="0" borderId="0" xfId="60" applyFont="1" applyBorder="1" applyAlignment="1">
      <alignment/>
    </xf>
    <xf numFmtId="0" fontId="0" fillId="0" borderId="0" xfId="0" applyBorder="1" applyAlignment="1">
      <alignment/>
    </xf>
    <xf numFmtId="41" fontId="0" fillId="0" borderId="100" xfId="60" applyFont="1" applyBorder="1" applyAlignment="1">
      <alignment/>
    </xf>
    <xf numFmtId="41" fontId="0" fillId="0" borderId="101" xfId="60" applyFont="1" applyBorder="1" applyAlignment="1">
      <alignment/>
    </xf>
    <xf numFmtId="41" fontId="0" fillId="0" borderId="102" xfId="60" applyFont="1" applyBorder="1" applyAlignment="1">
      <alignment/>
    </xf>
    <xf numFmtId="41" fontId="0" fillId="0" borderId="103" xfId="60" applyFont="1" applyBorder="1" applyAlignment="1">
      <alignment/>
    </xf>
    <xf numFmtId="41" fontId="0" fillId="0" borderId="104" xfId="60" applyFont="1" applyBorder="1" applyAlignment="1">
      <alignment/>
    </xf>
    <xf numFmtId="223" fontId="0" fillId="44" borderId="78" xfId="0" applyNumberFormat="1" applyFill="1" applyBorder="1" applyAlignment="1">
      <alignment/>
    </xf>
    <xf numFmtId="238" fontId="0" fillId="44" borderId="99" xfId="0" applyNumberFormat="1" applyFill="1" applyBorder="1" applyAlignment="1">
      <alignment/>
    </xf>
    <xf numFmtId="238" fontId="0" fillId="44" borderId="78" xfId="0" applyNumberFormat="1" applyFill="1" applyBorder="1" applyAlignment="1">
      <alignment/>
    </xf>
    <xf numFmtId="238" fontId="0" fillId="44" borderId="0" xfId="0" applyNumberFormat="1" applyFill="1" applyBorder="1" applyAlignment="1">
      <alignment/>
    </xf>
    <xf numFmtId="41" fontId="0" fillId="44" borderId="78" xfId="60" applyFont="1" applyFill="1" applyBorder="1" applyAlignment="1">
      <alignment/>
    </xf>
    <xf numFmtId="41" fontId="0" fillId="44" borderId="0" xfId="60" applyFont="1" applyFill="1" applyBorder="1" applyAlignment="1">
      <alignment/>
    </xf>
    <xf numFmtId="0" fontId="87" fillId="39" borderId="49" xfId="0" applyFont="1" applyFill="1" applyBorder="1" applyAlignment="1">
      <alignment horizontal="center" vertical="center" wrapText="1"/>
    </xf>
    <xf numFmtId="9" fontId="86" fillId="41" borderId="110" xfId="0" applyNumberFormat="1" applyFont="1" applyFill="1" applyBorder="1" applyAlignment="1">
      <alignment horizontal="center"/>
    </xf>
    <xf numFmtId="223" fontId="0" fillId="0" borderId="49" xfId="52" applyNumberFormat="1" applyFont="1" applyBorder="1" applyAlignment="1">
      <alignment/>
    </xf>
    <xf numFmtId="0" fontId="73" fillId="0" borderId="12" xfId="40" applyFont="1" applyFill="1" applyBorder="1">
      <alignment vertical="center"/>
      <protection/>
    </xf>
    <xf numFmtId="0" fontId="91" fillId="0" borderId="42" xfId="40" applyFont="1" applyBorder="1">
      <alignment vertical="center"/>
      <protection/>
    </xf>
    <xf numFmtId="0" fontId="92" fillId="0" borderId="42" xfId="40" applyFont="1" applyBorder="1">
      <alignment vertical="center"/>
      <protection/>
    </xf>
    <xf numFmtId="0" fontId="91" fillId="0" borderId="25" xfId="40" applyFont="1" applyBorder="1">
      <alignment vertical="center"/>
      <protection/>
    </xf>
    <xf numFmtId="205" fontId="91" fillId="0" borderId="25" xfId="40" applyNumberFormat="1" applyFont="1" applyBorder="1">
      <alignment vertical="center"/>
      <protection/>
    </xf>
    <xf numFmtId="205" fontId="91" fillId="0" borderId="45" xfId="40" applyNumberFormat="1" applyFont="1" applyBorder="1">
      <alignment vertical="center"/>
      <protection/>
    </xf>
    <xf numFmtId="0" fontId="91" fillId="0" borderId="36" xfId="40" applyFont="1" applyBorder="1">
      <alignment vertical="center"/>
      <protection/>
    </xf>
    <xf numFmtId="0" fontId="91" fillId="0" borderId="45" xfId="40" applyFont="1" applyBorder="1">
      <alignment vertical="center"/>
      <protection/>
    </xf>
    <xf numFmtId="207" fontId="91" fillId="0" borderId="12" xfId="40" applyNumberFormat="1" applyFont="1" applyBorder="1">
      <alignment vertical="center"/>
      <protection/>
    </xf>
    <xf numFmtId="41" fontId="0" fillId="0" borderId="0" xfId="60" applyFont="1" applyAlignment="1">
      <alignment/>
    </xf>
    <xf numFmtId="238" fontId="0" fillId="0" borderId="0" xfId="0" applyNumberFormat="1" applyAlignment="1">
      <alignment/>
    </xf>
    <xf numFmtId="43" fontId="7" fillId="0" borderId="0" xfId="0" applyNumberFormat="1" applyFont="1" applyAlignment="1">
      <alignment vertical="center"/>
    </xf>
    <xf numFmtId="0" fontId="91" fillId="0" borderId="99" xfId="40" applyFont="1" applyBorder="1">
      <alignment vertical="center"/>
      <protection/>
    </xf>
    <xf numFmtId="0" fontId="91" fillId="0" borderId="0" xfId="40" applyFont="1" applyBorder="1">
      <alignment vertical="center"/>
      <protection/>
    </xf>
    <xf numFmtId="0" fontId="73" fillId="0" borderId="99" xfId="40" applyFont="1" applyBorder="1">
      <alignment vertical="center"/>
      <protection/>
    </xf>
    <xf numFmtId="0" fontId="92" fillId="0" borderId="47" xfId="40" applyFont="1" applyBorder="1" applyAlignment="1">
      <alignment horizontal="center" vertical="center"/>
      <protection/>
    </xf>
    <xf numFmtId="0" fontId="92" fillId="0" borderId="111" xfId="40" applyFont="1" applyBorder="1" applyAlignment="1">
      <alignment horizontal="left" vertical="center"/>
      <protection/>
    </xf>
    <xf numFmtId="0" fontId="92" fillId="0" borderId="112" xfId="40" applyFont="1" applyBorder="1" applyAlignment="1">
      <alignment horizontal="left" vertical="center"/>
      <protection/>
    </xf>
    <xf numFmtId="0" fontId="92" fillId="0" borderId="113" xfId="40" applyFont="1" applyBorder="1" applyAlignment="1">
      <alignment horizontal="left" vertical="center"/>
      <protection/>
    </xf>
    <xf numFmtId="0" fontId="76" fillId="0" borderId="42" xfId="40" applyFont="1" applyBorder="1" applyAlignment="1">
      <alignment horizontal="center" vertical="center"/>
      <protection/>
    </xf>
    <xf numFmtId="0" fontId="76" fillId="0" borderId="44" xfId="40" applyFont="1" applyBorder="1" applyAlignment="1">
      <alignment horizontal="center" vertical="center"/>
      <protection/>
    </xf>
    <xf numFmtId="0" fontId="76" fillId="0" borderId="43" xfId="40" applyFont="1" applyBorder="1" applyAlignment="1">
      <alignment horizontal="center" vertical="center"/>
      <protection/>
    </xf>
    <xf numFmtId="0" fontId="91" fillId="0" borderId="10" xfId="40" applyFont="1" applyBorder="1" applyAlignment="1">
      <alignment horizontal="center" vertical="center"/>
      <protection/>
    </xf>
    <xf numFmtId="0" fontId="91" fillId="0" borderId="11" xfId="40" applyFont="1" applyBorder="1" applyAlignment="1">
      <alignment horizontal="center" vertical="center"/>
      <protection/>
    </xf>
    <xf numFmtId="0" fontId="91" fillId="0" borderId="92" xfId="40" applyFont="1" applyBorder="1" applyAlignment="1">
      <alignment horizontal="center" vertical="center"/>
      <protection/>
    </xf>
    <xf numFmtId="0" fontId="73" fillId="0" borderId="10" xfId="40" applyFont="1" applyBorder="1" applyAlignment="1">
      <alignment horizontal="center" vertical="center"/>
      <protection/>
    </xf>
    <xf numFmtId="0" fontId="73" fillId="0" borderId="11" xfId="40" applyFont="1" applyBorder="1" applyAlignment="1">
      <alignment horizontal="center" vertical="center"/>
      <protection/>
    </xf>
    <xf numFmtId="0" fontId="73" fillId="0" borderId="92" xfId="40" applyFont="1" applyBorder="1" applyAlignment="1">
      <alignment horizontal="center" vertical="center"/>
      <protection/>
    </xf>
    <xf numFmtId="14" fontId="76" fillId="0" borderId="114" xfId="40" applyNumberFormat="1" applyFont="1" applyBorder="1" applyAlignment="1">
      <alignment horizontal="center" vertical="center"/>
      <protection/>
    </xf>
    <xf numFmtId="0" fontId="76" fillId="0" borderId="16" xfId="40" applyFont="1" applyBorder="1" applyAlignment="1">
      <alignment horizontal="center" vertical="center"/>
      <protection/>
    </xf>
    <xf numFmtId="177" fontId="76" fillId="0" borderId="10" xfId="40" applyNumberFormat="1" applyFont="1" applyFill="1" applyBorder="1">
      <alignment vertical="center"/>
      <protection/>
    </xf>
    <xf numFmtId="177" fontId="76" fillId="0" borderId="16" xfId="40" applyNumberFormat="1" applyFont="1" applyFill="1" applyBorder="1">
      <alignment vertical="center"/>
      <protection/>
    </xf>
    <xf numFmtId="0" fontId="73" fillId="0" borderId="40" xfId="40" applyFont="1" applyFill="1" applyBorder="1">
      <alignment vertical="center"/>
      <protection/>
    </xf>
    <xf numFmtId="0" fontId="73" fillId="0" borderId="37" xfId="40" applyFont="1" applyFill="1" applyBorder="1">
      <alignment vertical="center"/>
      <protection/>
    </xf>
    <xf numFmtId="0" fontId="73" fillId="0" borderId="10" xfId="40" applyFont="1" applyFill="1" applyBorder="1">
      <alignment vertical="center"/>
      <protection/>
    </xf>
    <xf numFmtId="0" fontId="73" fillId="0" borderId="16" xfId="40" applyFont="1" applyFill="1" applyBorder="1">
      <alignment vertical="center"/>
      <protection/>
    </xf>
    <xf numFmtId="0" fontId="76" fillId="0" borderId="42" xfId="40" applyFont="1" applyFill="1" applyBorder="1" applyAlignment="1">
      <alignment horizontal="center" vertical="center" wrapText="1"/>
      <protection/>
    </xf>
    <xf numFmtId="0" fontId="76" fillId="0" borderId="43" xfId="40" applyFont="1" applyFill="1" applyBorder="1" applyAlignment="1">
      <alignment horizontal="center" vertical="center" wrapText="1"/>
      <protection/>
    </xf>
    <xf numFmtId="0" fontId="76" fillId="0" borderId="44" xfId="40" applyFont="1" applyFill="1" applyBorder="1" applyAlignment="1">
      <alignment horizontal="center" vertical="center" wrapText="1"/>
      <protection/>
    </xf>
    <xf numFmtId="49" fontId="85" fillId="0" borderId="114" xfId="40" applyNumberFormat="1" applyFont="1" applyBorder="1" applyAlignment="1">
      <alignment horizontal="center" vertical="center"/>
      <protection/>
    </xf>
    <xf numFmtId="49" fontId="85" fillId="0" borderId="11" xfId="40" applyNumberFormat="1" applyFont="1" applyBorder="1" applyAlignment="1">
      <alignment horizontal="center" vertical="center"/>
      <protection/>
    </xf>
    <xf numFmtId="177" fontId="76" fillId="0" borderId="25" xfId="40" applyNumberFormat="1" applyFont="1" applyFill="1" applyBorder="1">
      <alignment vertical="center"/>
      <protection/>
    </xf>
    <xf numFmtId="177" fontId="76" fillId="0" borderId="45" xfId="40" applyNumberFormat="1" applyFont="1" applyFill="1" applyBorder="1">
      <alignment vertical="center"/>
      <protection/>
    </xf>
    <xf numFmtId="0" fontId="91" fillId="0" borderId="115" xfId="40" applyFont="1" applyBorder="1" applyAlignment="1">
      <alignment horizontal="center" vertical="center"/>
      <protection/>
    </xf>
    <xf numFmtId="0" fontId="91" fillId="0" borderId="48" xfId="40" applyFont="1" applyBorder="1" applyAlignment="1">
      <alignment horizontal="center" vertical="center"/>
      <protection/>
    </xf>
    <xf numFmtId="0" fontId="91" fillId="0" borderId="116" xfId="40" applyFont="1" applyBorder="1" applyAlignment="1">
      <alignment horizontal="center" vertical="center"/>
      <protection/>
    </xf>
    <xf numFmtId="207" fontId="85" fillId="0" borderId="25" xfId="40" applyNumberFormat="1" applyFont="1" applyBorder="1" applyAlignment="1">
      <alignment horizontal="right" vertical="center"/>
      <protection/>
    </xf>
    <xf numFmtId="207" fontId="85" fillId="0" borderId="45" xfId="40" applyNumberFormat="1" applyFont="1" applyBorder="1" applyAlignment="1">
      <alignment horizontal="right" vertical="center"/>
      <protection/>
    </xf>
    <xf numFmtId="205" fontId="85" fillId="0" borderId="25" xfId="40" applyNumberFormat="1" applyFont="1" applyBorder="1" applyAlignment="1">
      <alignment horizontal="right" vertical="center"/>
      <protection/>
    </xf>
    <xf numFmtId="205" fontId="85" fillId="0" borderId="45" xfId="40" applyNumberFormat="1" applyFont="1" applyBorder="1" applyAlignment="1">
      <alignment horizontal="right" vertical="center"/>
      <protection/>
    </xf>
    <xf numFmtId="205" fontId="92" fillId="0" borderId="110" xfId="40" applyNumberFormat="1" applyFont="1" applyBorder="1" applyAlignment="1">
      <alignment horizontal="right" vertical="center"/>
      <protection/>
    </xf>
    <xf numFmtId="205" fontId="92" fillId="0" borderId="117" xfId="40" applyNumberFormat="1" applyFont="1" applyBorder="1" applyAlignment="1">
      <alignment horizontal="right" vertical="center"/>
      <protection/>
    </xf>
    <xf numFmtId="207" fontId="92" fillId="0" borderId="110" xfId="40" applyNumberFormat="1" applyFont="1" applyBorder="1">
      <alignment vertical="center"/>
      <protection/>
    </xf>
    <xf numFmtId="207" fontId="92" fillId="0" borderId="117" xfId="40" applyNumberFormat="1" applyFont="1" applyBorder="1">
      <alignment vertical="center"/>
      <protection/>
    </xf>
    <xf numFmtId="205" fontId="92" fillId="0" borderId="110" xfId="40" applyNumberFormat="1" applyFont="1" applyBorder="1">
      <alignment vertical="center"/>
      <protection/>
    </xf>
    <xf numFmtId="205" fontId="92" fillId="0" borderId="117" xfId="40" applyNumberFormat="1" applyFont="1" applyBorder="1">
      <alignment vertical="center"/>
      <protection/>
    </xf>
    <xf numFmtId="177" fontId="76" fillId="0" borderId="118" xfId="40" applyNumberFormat="1" applyFont="1" applyFill="1" applyBorder="1">
      <alignment vertical="center"/>
      <protection/>
    </xf>
    <xf numFmtId="177" fontId="76" fillId="0" borderId="119" xfId="40" applyNumberFormat="1" applyFont="1" applyFill="1" applyBorder="1">
      <alignment vertical="center"/>
      <protection/>
    </xf>
    <xf numFmtId="207" fontId="92" fillId="0" borderId="110" xfId="40" applyNumberFormat="1" applyFont="1" applyBorder="1" applyAlignment="1">
      <alignment horizontal="right" vertical="center"/>
      <protection/>
    </xf>
    <xf numFmtId="207" fontId="92" fillId="0" borderId="117" xfId="40" applyNumberFormat="1" applyFont="1" applyBorder="1" applyAlignment="1">
      <alignment horizontal="right" vertical="center"/>
      <protection/>
    </xf>
    <xf numFmtId="0" fontId="79" fillId="0" borderId="0" xfId="40" applyFont="1" applyBorder="1" applyAlignment="1">
      <alignment horizontal="right" vertical="center"/>
      <protection/>
    </xf>
    <xf numFmtId="201" fontId="83" fillId="0" borderId="12" xfId="60" applyNumberFormat="1" applyFont="1" applyBorder="1" applyAlignment="1">
      <alignment horizontal="center" vertical="center"/>
    </xf>
    <xf numFmtId="205" fontId="92" fillId="0" borderId="110" xfId="40" applyNumberFormat="1" applyFont="1" applyBorder="1" applyAlignment="1">
      <alignment horizontal="center" vertical="center"/>
      <protection/>
    </xf>
    <xf numFmtId="205" fontId="92" fillId="0" borderId="120" xfId="40" applyNumberFormat="1" applyFont="1" applyBorder="1" applyAlignment="1">
      <alignment horizontal="center" vertical="center"/>
      <protection/>
    </xf>
    <xf numFmtId="205" fontId="92" fillId="0" borderId="121" xfId="40" applyNumberFormat="1" applyFont="1" applyBorder="1" applyAlignment="1">
      <alignment horizontal="center" vertical="center"/>
      <protection/>
    </xf>
    <xf numFmtId="0" fontId="82" fillId="0" borderId="122" xfId="40" applyFont="1" applyBorder="1" applyAlignment="1">
      <alignment horizontal="center" vertical="center"/>
      <protection/>
    </xf>
    <xf numFmtId="0" fontId="82" fillId="0" borderId="120" xfId="40" applyFont="1" applyBorder="1" applyAlignment="1">
      <alignment horizontal="center" vertical="center"/>
      <protection/>
    </xf>
    <xf numFmtId="0" fontId="82" fillId="0" borderId="117" xfId="40" applyFont="1" applyBorder="1" applyAlignment="1">
      <alignment horizontal="center" vertical="center"/>
      <protection/>
    </xf>
    <xf numFmtId="207" fontId="76" fillId="0" borderId="10" xfId="40" applyNumberFormat="1" applyFont="1" applyFill="1" applyBorder="1">
      <alignment vertical="center"/>
      <protection/>
    </xf>
    <xf numFmtId="207" fontId="76" fillId="0" borderId="16" xfId="40" applyNumberFormat="1" applyFont="1" applyFill="1" applyBorder="1">
      <alignment vertical="center"/>
      <protection/>
    </xf>
    <xf numFmtId="0" fontId="76" fillId="0" borderId="10" xfId="40" applyFont="1" applyBorder="1" applyAlignment="1">
      <alignment horizontal="center" vertical="center"/>
      <protection/>
    </xf>
    <xf numFmtId="0" fontId="76" fillId="0" borderId="10" xfId="40" applyFont="1" applyBorder="1">
      <alignment vertical="center"/>
      <protection/>
    </xf>
    <xf numFmtId="0" fontId="76" fillId="0" borderId="16" xfId="40" applyFont="1" applyBorder="1">
      <alignment vertical="center"/>
      <protection/>
    </xf>
    <xf numFmtId="0" fontId="84" fillId="35" borderId="42" xfId="40" applyFont="1" applyFill="1" applyBorder="1" applyAlignment="1">
      <alignment horizontal="center" vertical="center"/>
      <protection/>
    </xf>
    <xf numFmtId="0" fontId="84" fillId="35" borderId="44" xfId="40" applyFont="1" applyFill="1" applyBorder="1" applyAlignment="1">
      <alignment horizontal="center" vertical="center"/>
      <protection/>
    </xf>
    <xf numFmtId="0" fontId="84" fillId="35" borderId="76" xfId="40" applyFont="1" applyFill="1" applyBorder="1" applyAlignment="1">
      <alignment horizontal="center" vertical="center"/>
      <protection/>
    </xf>
    <xf numFmtId="207" fontId="76" fillId="0" borderId="24" xfId="40" applyNumberFormat="1" applyFont="1" applyFill="1" applyBorder="1">
      <alignment vertical="center"/>
      <protection/>
    </xf>
    <xf numFmtId="207" fontId="76" fillId="0" borderId="41" xfId="40" applyNumberFormat="1" applyFont="1" applyFill="1" applyBorder="1">
      <alignment vertical="center"/>
      <protection/>
    </xf>
    <xf numFmtId="207" fontId="76" fillId="0" borderId="25" xfId="40" applyNumberFormat="1" applyFont="1" applyFill="1" applyBorder="1">
      <alignment vertical="center"/>
      <protection/>
    </xf>
    <xf numFmtId="207" fontId="76" fillId="0" borderId="45" xfId="40" applyNumberFormat="1" applyFont="1" applyFill="1" applyBorder="1">
      <alignment vertical="center"/>
      <protection/>
    </xf>
    <xf numFmtId="177" fontId="76" fillId="0" borderId="24" xfId="40" applyNumberFormat="1" applyFont="1" applyFill="1" applyBorder="1">
      <alignment vertical="center"/>
      <protection/>
    </xf>
    <xf numFmtId="0" fontId="76" fillId="0" borderId="41" xfId="40" applyFont="1" applyFill="1" applyBorder="1">
      <alignment vertical="center"/>
      <protection/>
    </xf>
    <xf numFmtId="207" fontId="76" fillId="0" borderId="11" xfId="40" applyNumberFormat="1" applyFont="1" applyFill="1" applyBorder="1">
      <alignment vertical="center"/>
      <protection/>
    </xf>
    <xf numFmtId="0" fontId="73" fillId="0" borderId="11" xfId="40" applyFont="1" applyFill="1" applyBorder="1">
      <alignment vertical="center"/>
      <protection/>
    </xf>
    <xf numFmtId="0" fontId="76" fillId="0" borderId="47" xfId="40" applyFont="1" applyBorder="1">
      <alignment vertical="center"/>
      <protection/>
    </xf>
    <xf numFmtId="0" fontId="76" fillId="0" borderId="41" xfId="40" applyFont="1" applyBorder="1">
      <alignment vertical="center"/>
      <protection/>
    </xf>
    <xf numFmtId="0" fontId="73" fillId="0" borderId="12" xfId="40" applyFont="1" applyFill="1" applyBorder="1">
      <alignment vertical="center"/>
      <protection/>
    </xf>
    <xf numFmtId="177" fontId="76" fillId="0" borderId="43" xfId="40" applyNumberFormat="1" applyFont="1" applyFill="1" applyBorder="1">
      <alignment vertical="center"/>
      <protection/>
    </xf>
    <xf numFmtId="0" fontId="76" fillId="0" borderId="43" xfId="40" applyFont="1" applyFill="1" applyBorder="1">
      <alignment vertical="center"/>
      <protection/>
    </xf>
    <xf numFmtId="177" fontId="85" fillId="0" borderId="10" xfId="40" applyNumberFormat="1" applyFont="1" applyFill="1" applyBorder="1">
      <alignment vertical="center"/>
      <protection/>
    </xf>
    <xf numFmtId="177" fontId="85" fillId="0" borderId="16" xfId="40" applyNumberFormat="1" applyFont="1" applyFill="1" applyBorder="1">
      <alignment vertical="center"/>
      <protection/>
    </xf>
    <xf numFmtId="49" fontId="76" fillId="0" borderId="10" xfId="40" applyNumberFormat="1" applyFont="1" applyBorder="1" applyAlignment="1">
      <alignment horizontal="center" vertical="center"/>
      <protection/>
    </xf>
    <xf numFmtId="49" fontId="76" fillId="0" borderId="16" xfId="40" applyNumberFormat="1" applyFont="1" applyBorder="1" applyAlignment="1">
      <alignment horizontal="center" vertical="center"/>
      <protection/>
    </xf>
    <xf numFmtId="0" fontId="76" fillId="0" borderId="12" xfId="40" applyFont="1" applyFill="1" applyBorder="1" applyAlignment="1">
      <alignment horizontal="center" vertical="center" wrapText="1"/>
      <protection/>
    </xf>
    <xf numFmtId="0" fontId="75" fillId="0" borderId="42" xfId="40" applyFont="1" applyFill="1" applyBorder="1" applyAlignment="1">
      <alignment horizontal="center" vertical="center"/>
      <protection/>
    </xf>
    <xf numFmtId="0" fontId="75" fillId="0" borderId="44" xfId="40" applyFont="1" applyFill="1" applyBorder="1" applyAlignment="1">
      <alignment horizontal="center" vertical="center"/>
      <protection/>
    </xf>
    <xf numFmtId="201" fontId="75" fillId="0" borderId="64" xfId="40" applyNumberFormat="1" applyFont="1" applyFill="1" applyBorder="1" applyAlignment="1">
      <alignment horizontal="right" vertical="center"/>
      <protection/>
    </xf>
    <xf numFmtId="201" fontId="75" fillId="0" borderId="123" xfId="40" applyNumberFormat="1" applyFont="1" applyFill="1" applyBorder="1" applyAlignment="1">
      <alignment horizontal="right" vertical="center"/>
      <protection/>
    </xf>
    <xf numFmtId="0" fontId="75" fillId="0" borderId="61" xfId="40" applyFont="1" applyFill="1" applyBorder="1" applyAlignment="1">
      <alignment horizontal="center" vertical="center"/>
      <protection/>
    </xf>
    <xf numFmtId="0" fontId="75" fillId="0" borderId="124" xfId="40" applyFont="1" applyFill="1" applyBorder="1" applyAlignment="1">
      <alignment horizontal="center" vertical="center"/>
      <protection/>
    </xf>
    <xf numFmtId="41" fontId="76" fillId="0" borderId="12" xfId="60" applyFont="1" applyBorder="1" applyAlignment="1">
      <alignment horizontal="center" vertical="center"/>
    </xf>
    <xf numFmtId="0" fontId="76" fillId="0" borderId="45" xfId="40" applyFont="1" applyFill="1" applyBorder="1" applyAlignment="1">
      <alignment horizontal="center" vertical="center" wrapText="1"/>
      <protection/>
    </xf>
    <xf numFmtId="0" fontId="76" fillId="0" borderId="46" xfId="40" applyFont="1" applyFill="1" applyBorder="1" applyAlignment="1">
      <alignment horizontal="center" vertical="center"/>
      <protection/>
    </xf>
    <xf numFmtId="0" fontId="85" fillId="0" borderId="47" xfId="40" applyFont="1" applyBorder="1" applyAlignment="1">
      <alignment horizontal="center" vertical="center"/>
      <protection/>
    </xf>
    <xf numFmtId="0" fontId="85" fillId="0" borderId="24" xfId="40" applyFont="1" applyBorder="1" applyAlignment="1">
      <alignment horizontal="center" vertical="center"/>
      <protection/>
    </xf>
    <xf numFmtId="0" fontId="85" fillId="0" borderId="41" xfId="40" applyFont="1" applyBorder="1" applyAlignment="1">
      <alignment horizontal="center" vertical="center"/>
      <protection/>
    </xf>
    <xf numFmtId="0" fontId="76" fillId="0" borderId="47" xfId="40" applyFont="1" applyBorder="1" applyAlignment="1">
      <alignment horizontal="center" vertical="center"/>
      <protection/>
    </xf>
    <xf numFmtId="0" fontId="76" fillId="0" borderId="24" xfId="40" applyFont="1" applyBorder="1" applyAlignment="1">
      <alignment horizontal="center" vertical="center"/>
      <protection/>
    </xf>
    <xf numFmtId="0" fontId="76" fillId="0" borderId="41" xfId="40" applyFont="1" applyBorder="1" applyAlignment="1">
      <alignment horizontal="center" vertical="center"/>
      <protection/>
    </xf>
    <xf numFmtId="0" fontId="84" fillId="0" borderId="12" xfId="40" applyFont="1" applyBorder="1" applyAlignment="1">
      <alignment horizontal="center" vertical="center"/>
      <protection/>
    </xf>
    <xf numFmtId="0" fontId="84" fillId="0" borderId="42" xfId="40" applyFont="1" applyBorder="1" applyAlignment="1">
      <alignment horizontal="center" vertical="center"/>
      <protection/>
    </xf>
    <xf numFmtId="0" fontId="73" fillId="0" borderId="0" xfId="40" applyFont="1" applyFill="1">
      <alignment vertical="center"/>
      <protection/>
    </xf>
    <xf numFmtId="205" fontId="92" fillId="0" borderId="125" xfId="40" applyNumberFormat="1" applyFont="1" applyBorder="1">
      <alignment vertical="center"/>
      <protection/>
    </xf>
    <xf numFmtId="205" fontId="92" fillId="0" borderId="126" xfId="40" applyNumberFormat="1" applyFont="1" applyBorder="1">
      <alignment vertical="center"/>
      <protection/>
    </xf>
    <xf numFmtId="177" fontId="76" fillId="0" borderId="12" xfId="40" applyNumberFormat="1" applyFont="1" applyFill="1" applyBorder="1">
      <alignment vertical="center"/>
      <protection/>
    </xf>
    <xf numFmtId="0" fontId="76" fillId="0" borderId="12" xfId="40" applyFont="1" applyFill="1" applyBorder="1">
      <alignment vertical="center"/>
      <protection/>
    </xf>
    <xf numFmtId="0" fontId="84" fillId="0" borderId="42" xfId="40" applyFont="1" applyFill="1" applyBorder="1" applyAlignment="1">
      <alignment horizontal="center" vertical="center"/>
      <protection/>
    </xf>
    <xf numFmtId="0" fontId="84" fillId="0" borderId="44" xfId="40" applyFont="1" applyFill="1" applyBorder="1" applyAlignment="1">
      <alignment horizontal="center" vertical="center"/>
      <protection/>
    </xf>
    <xf numFmtId="0" fontId="76" fillId="0" borderId="42" xfId="40" applyFont="1" applyFill="1" applyBorder="1" applyAlignment="1">
      <alignment horizontal="center" vertical="center"/>
      <protection/>
    </xf>
    <xf numFmtId="0" fontId="76" fillId="0" borderId="44" xfId="40" applyFont="1" applyFill="1" applyBorder="1" applyAlignment="1">
      <alignment horizontal="center" vertical="center"/>
      <protection/>
    </xf>
    <xf numFmtId="205" fontId="73" fillId="0" borderId="10" xfId="40" applyNumberFormat="1" applyFont="1" applyFill="1" applyBorder="1">
      <alignment vertical="center"/>
      <protection/>
    </xf>
    <xf numFmtId="205" fontId="73" fillId="0" borderId="16" xfId="40" applyNumberFormat="1" applyFont="1" applyFill="1" applyBorder="1">
      <alignment vertical="center"/>
      <protection/>
    </xf>
    <xf numFmtId="0" fontId="73" fillId="0" borderId="47" xfId="40" applyFont="1" applyFill="1" applyBorder="1">
      <alignment vertical="center"/>
      <protection/>
    </xf>
    <xf numFmtId="0" fontId="73" fillId="0" borderId="41" xfId="40" applyFont="1" applyFill="1" applyBorder="1">
      <alignment vertical="center"/>
      <protection/>
    </xf>
    <xf numFmtId="209" fontId="76" fillId="0" borderId="43" xfId="40" applyNumberFormat="1" applyFont="1" applyFill="1" applyBorder="1">
      <alignment vertical="center"/>
      <protection/>
    </xf>
    <xf numFmtId="0" fontId="73" fillId="0" borderId="32" xfId="40" applyFont="1" applyFill="1" applyBorder="1">
      <alignment vertical="center"/>
      <protection/>
    </xf>
    <xf numFmtId="0" fontId="73" fillId="0" borderId="30" xfId="40" applyFont="1" applyFill="1" applyBorder="1">
      <alignment vertical="center"/>
      <protection/>
    </xf>
    <xf numFmtId="0" fontId="76" fillId="0" borderId="10" xfId="40" applyFont="1" applyFill="1" applyBorder="1" applyAlignment="1">
      <alignment horizontal="right" vertical="center"/>
      <protection/>
    </xf>
    <xf numFmtId="0" fontId="76" fillId="0" borderId="11" xfId="40" applyFont="1" applyFill="1" applyBorder="1" applyAlignment="1">
      <alignment horizontal="right" vertical="center"/>
      <protection/>
    </xf>
    <xf numFmtId="0" fontId="76" fillId="0" borderId="16" xfId="40" applyFont="1" applyFill="1" applyBorder="1" applyAlignment="1">
      <alignment horizontal="right" vertical="center"/>
      <protection/>
    </xf>
    <xf numFmtId="0" fontId="76" fillId="0" borderId="47" xfId="40" applyFont="1" applyFill="1" applyBorder="1" applyAlignment="1">
      <alignment horizontal="right" vertical="center"/>
      <protection/>
    </xf>
    <xf numFmtId="0" fontId="76" fillId="0" borderId="24" xfId="40" applyFont="1" applyFill="1" applyBorder="1" applyAlignment="1">
      <alignment horizontal="right" vertical="center"/>
      <protection/>
    </xf>
    <xf numFmtId="0" fontId="76" fillId="0" borderId="41" xfId="40" applyFont="1" applyFill="1" applyBorder="1" applyAlignment="1">
      <alignment horizontal="right" vertical="center"/>
      <protection/>
    </xf>
    <xf numFmtId="0" fontId="76" fillId="0" borderId="25" xfId="40" applyFont="1" applyBorder="1" applyAlignment="1">
      <alignment horizontal="center" vertical="center" wrapText="1"/>
      <protection/>
    </xf>
    <xf numFmtId="0" fontId="76" fillId="0" borderId="26" xfId="40" applyFont="1" applyBorder="1" applyAlignment="1">
      <alignment horizontal="center" vertical="center" wrapText="1"/>
      <protection/>
    </xf>
    <xf numFmtId="0" fontId="76" fillId="0" borderId="44" xfId="40" applyFont="1" applyBorder="1" applyAlignment="1">
      <alignment horizontal="center" vertical="center" wrapText="1"/>
      <protection/>
    </xf>
    <xf numFmtId="0" fontId="75" fillId="0" borderId="10" xfId="40" applyFont="1" applyFill="1" applyBorder="1">
      <alignment vertical="center"/>
      <protection/>
    </xf>
    <xf numFmtId="0" fontId="75" fillId="0" borderId="11" xfId="40" applyFont="1" applyFill="1" applyBorder="1">
      <alignment vertical="center"/>
      <protection/>
    </xf>
    <xf numFmtId="0" fontId="75" fillId="0" borderId="16" xfId="40" applyFont="1" applyFill="1" applyBorder="1">
      <alignment vertical="center"/>
      <protection/>
    </xf>
    <xf numFmtId="0" fontId="75" fillId="0" borderId="12" xfId="40" applyFont="1" applyFill="1" applyBorder="1">
      <alignment vertical="center"/>
      <protection/>
    </xf>
    <xf numFmtId="209" fontId="85" fillId="0" borderId="10" xfId="40" applyNumberFormat="1" applyFont="1" applyFill="1" applyBorder="1">
      <alignment vertical="center"/>
      <protection/>
    </xf>
    <xf numFmtId="209" fontId="85" fillId="0" borderId="16" xfId="40" applyNumberFormat="1" applyFont="1" applyFill="1" applyBorder="1">
      <alignment vertical="center"/>
      <protection/>
    </xf>
    <xf numFmtId="177" fontId="76" fillId="0" borderId="11" xfId="40" applyNumberFormat="1" applyFont="1" applyFill="1" applyBorder="1">
      <alignment vertical="center"/>
      <protection/>
    </xf>
    <xf numFmtId="0" fontId="76" fillId="0" borderId="16" xfId="40" applyFont="1" applyFill="1" applyBorder="1">
      <alignment vertical="center"/>
      <protection/>
    </xf>
    <xf numFmtId="0" fontId="75" fillId="0" borderId="42" xfId="40" applyFont="1" applyFill="1" applyBorder="1" applyAlignment="1">
      <alignment vertical="center" wrapText="1"/>
      <protection/>
    </xf>
    <xf numFmtId="0" fontId="75" fillId="0" borderId="44" xfId="40" applyFont="1" applyFill="1" applyBorder="1" applyAlignment="1">
      <alignment vertical="center" wrapText="1"/>
      <protection/>
    </xf>
    <xf numFmtId="0" fontId="94" fillId="0" borderId="39" xfId="40" applyFont="1" applyFill="1" applyBorder="1">
      <alignment vertical="center"/>
      <protection/>
    </xf>
    <xf numFmtId="0" fontId="94" fillId="0" borderId="38" xfId="40" applyFont="1" applyFill="1" applyBorder="1">
      <alignment vertical="center"/>
      <protection/>
    </xf>
    <xf numFmtId="0" fontId="94" fillId="0" borderId="40" xfId="40" applyFont="1" applyFill="1" applyBorder="1">
      <alignment vertical="center"/>
      <protection/>
    </xf>
    <xf numFmtId="0" fontId="94" fillId="0" borderId="37" xfId="40" applyFont="1" applyFill="1" applyBorder="1">
      <alignment vertical="center"/>
      <protection/>
    </xf>
    <xf numFmtId="207" fontId="92" fillId="0" borderId="125" xfId="40" applyNumberFormat="1" applyFont="1" applyBorder="1">
      <alignment vertical="center"/>
      <protection/>
    </xf>
    <xf numFmtId="207" fontId="92" fillId="0" borderId="126" xfId="40" applyNumberFormat="1" applyFont="1" applyBorder="1">
      <alignment vertical="center"/>
      <protection/>
    </xf>
    <xf numFmtId="235" fontId="75" fillId="0" borderId="33" xfId="40" applyNumberFormat="1" applyFont="1" applyFill="1" applyBorder="1" applyAlignment="1">
      <alignment horizontal="right" vertical="center"/>
      <protection/>
    </xf>
    <xf numFmtId="235" fontId="75" fillId="0" borderId="28" xfId="40" applyNumberFormat="1" applyFont="1" applyFill="1" applyBorder="1" applyAlignment="1">
      <alignment horizontal="right" vertical="center"/>
      <protection/>
    </xf>
    <xf numFmtId="0" fontId="73" fillId="0" borderId="42" xfId="40" applyFont="1" applyFill="1" applyBorder="1" applyAlignment="1">
      <alignment vertical="center" wrapText="1"/>
      <protection/>
    </xf>
    <xf numFmtId="0" fontId="73" fillId="0" borderId="44" xfId="40" applyFont="1" applyFill="1" applyBorder="1" applyAlignment="1">
      <alignment vertical="center" wrapText="1"/>
      <protection/>
    </xf>
    <xf numFmtId="0" fontId="73" fillId="0" borderId="43" xfId="40" applyFont="1" applyFill="1" applyBorder="1" applyAlignment="1">
      <alignment vertical="center" wrapText="1"/>
      <protection/>
    </xf>
    <xf numFmtId="207" fontId="85" fillId="0" borderId="10" xfId="40" applyNumberFormat="1" applyFont="1" applyFill="1" applyBorder="1">
      <alignment vertical="center"/>
      <protection/>
    </xf>
    <xf numFmtId="207" fontId="85" fillId="0" borderId="16" xfId="40" applyNumberFormat="1" applyFont="1" applyFill="1" applyBorder="1">
      <alignment vertical="center"/>
      <protection/>
    </xf>
    <xf numFmtId="0" fontId="75" fillId="0" borderId="33" xfId="40" applyFont="1" applyFill="1" applyBorder="1" applyAlignment="1">
      <alignment horizontal="center" vertical="center"/>
      <protection/>
    </xf>
    <xf numFmtId="0" fontId="75" fillId="0" borderId="28" xfId="40" applyFont="1" applyFill="1" applyBorder="1" applyAlignment="1">
      <alignment horizontal="center" vertical="center"/>
      <protection/>
    </xf>
    <xf numFmtId="0" fontId="84" fillId="0" borderId="42" xfId="40" applyFont="1" applyFill="1" applyBorder="1" applyAlignment="1">
      <alignment horizontal="center" vertical="center" wrapText="1"/>
      <protection/>
    </xf>
    <xf numFmtId="0" fontId="84" fillId="0" borderId="43" xfId="40" applyFont="1" applyFill="1" applyBorder="1" applyAlignment="1">
      <alignment horizontal="center" vertical="center"/>
      <protection/>
    </xf>
    <xf numFmtId="207" fontId="76" fillId="0" borderId="47" xfId="40" applyNumberFormat="1" applyFont="1" applyFill="1" applyBorder="1">
      <alignment vertical="center"/>
      <protection/>
    </xf>
    <xf numFmtId="177" fontId="75" fillId="0" borderId="33" xfId="40" applyNumberFormat="1" applyFont="1" applyFill="1" applyBorder="1" applyAlignment="1">
      <alignment horizontal="right" vertical="center"/>
      <protection/>
    </xf>
    <xf numFmtId="177" fontId="75" fillId="0" borderId="28" xfId="40" applyNumberFormat="1" applyFont="1" applyFill="1" applyBorder="1" applyAlignment="1">
      <alignment horizontal="right" vertical="center"/>
      <protection/>
    </xf>
    <xf numFmtId="207" fontId="75" fillId="0" borderId="33" xfId="40" applyNumberFormat="1" applyFont="1" applyFill="1" applyBorder="1" applyAlignment="1">
      <alignment horizontal="right" vertical="center"/>
      <protection/>
    </xf>
    <xf numFmtId="207" fontId="75" fillId="0" borderId="28" xfId="40" applyNumberFormat="1" applyFont="1" applyFill="1" applyBorder="1" applyAlignment="1">
      <alignment horizontal="right" vertical="center"/>
      <protection/>
    </xf>
    <xf numFmtId="0" fontId="73" fillId="0" borderId="42" xfId="40" applyFont="1" applyFill="1" applyBorder="1" applyAlignment="1">
      <alignment horizontal="center" vertical="center" wrapText="1"/>
      <protection/>
    </xf>
    <xf numFmtId="0" fontId="73" fillId="0" borderId="44" xfId="40" applyFont="1" applyFill="1" applyBorder="1" applyAlignment="1">
      <alignment horizontal="center" vertical="center" wrapText="1"/>
      <protection/>
    </xf>
    <xf numFmtId="0" fontId="73" fillId="0" borderId="43" xfId="40" applyFont="1" applyFill="1" applyBorder="1" applyAlignment="1">
      <alignment horizontal="center" vertical="center" wrapText="1"/>
      <protection/>
    </xf>
    <xf numFmtId="0" fontId="84" fillId="35" borderId="25" xfId="40" applyFont="1" applyFill="1" applyBorder="1" applyAlignment="1">
      <alignment horizontal="center" vertical="center"/>
      <protection/>
    </xf>
    <xf numFmtId="0" fontId="84" fillId="35" borderId="26" xfId="40" applyFont="1" applyFill="1" applyBorder="1" applyAlignment="1">
      <alignment horizontal="center" vertical="center"/>
      <protection/>
    </xf>
    <xf numFmtId="205" fontId="75" fillId="0" borderId="33" xfId="40" applyNumberFormat="1" applyFont="1" applyFill="1" applyBorder="1" applyAlignment="1">
      <alignment horizontal="right" vertical="center"/>
      <protection/>
    </xf>
    <xf numFmtId="205" fontId="75" fillId="0" borderId="28" xfId="40" applyNumberFormat="1" applyFont="1" applyFill="1" applyBorder="1" applyAlignment="1">
      <alignment horizontal="right" vertical="center"/>
      <protection/>
    </xf>
    <xf numFmtId="41" fontId="92" fillId="0" borderId="11" xfId="40" applyNumberFormat="1" applyFont="1" applyBorder="1" applyAlignment="1">
      <alignment horizontal="center" vertical="center"/>
      <protection/>
    </xf>
    <xf numFmtId="0" fontId="92" fillId="0" borderId="92" xfId="40" applyFont="1" applyBorder="1" applyAlignment="1">
      <alignment horizontal="center" vertical="center"/>
      <protection/>
    </xf>
    <xf numFmtId="0" fontId="76" fillId="0" borderId="43" xfId="40" applyFont="1" applyFill="1" applyBorder="1" applyAlignment="1">
      <alignment horizontal="center" vertical="center"/>
      <protection/>
    </xf>
    <xf numFmtId="177" fontId="76" fillId="0" borderId="47" xfId="40" applyNumberFormat="1" applyFont="1" applyFill="1" applyBorder="1">
      <alignment vertical="center"/>
      <protection/>
    </xf>
    <xf numFmtId="177" fontId="76" fillId="0" borderId="41" xfId="40" applyNumberFormat="1" applyFont="1" applyFill="1" applyBorder="1">
      <alignment vertical="center"/>
      <protection/>
    </xf>
    <xf numFmtId="0" fontId="76" fillId="0" borderId="12" xfId="40" applyFont="1" applyFill="1" applyBorder="1" applyAlignment="1">
      <alignment horizontal="center" vertical="center"/>
      <protection/>
    </xf>
    <xf numFmtId="14" fontId="76" fillId="0" borderId="127" xfId="40" applyNumberFormat="1" applyFont="1" applyBorder="1" applyAlignment="1">
      <alignment horizontal="center" vertical="center"/>
      <protection/>
    </xf>
    <xf numFmtId="0" fontId="76" fillId="0" borderId="119" xfId="40" applyFont="1" applyBorder="1" applyAlignment="1">
      <alignment horizontal="center" vertical="center"/>
      <protection/>
    </xf>
    <xf numFmtId="0" fontId="73" fillId="0" borderId="118" xfId="40" applyFont="1" applyBorder="1" applyAlignment="1">
      <alignment horizontal="center" vertical="center"/>
      <protection/>
    </xf>
    <xf numFmtId="0" fontId="73" fillId="0" borderId="128" xfId="40" applyFont="1" applyBorder="1" applyAlignment="1">
      <alignment horizontal="center" vertical="center"/>
      <protection/>
    </xf>
    <xf numFmtId="0" fontId="73" fillId="0" borderId="129" xfId="40" applyFont="1" applyBorder="1" applyAlignment="1">
      <alignment horizontal="center" vertical="center"/>
      <protection/>
    </xf>
    <xf numFmtId="49" fontId="85" fillId="0" borderId="130" xfId="40" applyNumberFormat="1" applyFont="1" applyBorder="1" applyAlignment="1">
      <alignment horizontal="center" vertical="center"/>
      <protection/>
    </xf>
    <xf numFmtId="49" fontId="85" fillId="0" borderId="131" xfId="40" applyNumberFormat="1" applyFont="1" applyBorder="1" applyAlignment="1">
      <alignment horizontal="center" vertical="center"/>
      <protection/>
    </xf>
    <xf numFmtId="49" fontId="85" fillId="0" borderId="16" xfId="40" applyNumberFormat="1" applyFont="1" applyBorder="1" applyAlignment="1">
      <alignment horizontal="center" vertical="center"/>
      <protection/>
    </xf>
    <xf numFmtId="22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223" fontId="7" fillId="0" borderId="110" xfId="0" applyNumberFormat="1" applyFont="1" applyBorder="1" applyAlignment="1">
      <alignment horizontal="center" vertical="center"/>
    </xf>
    <xf numFmtId="223" fontId="7" fillId="0" borderId="117" xfId="0" applyNumberFormat="1" applyFont="1" applyBorder="1" applyAlignment="1">
      <alignment horizontal="center" vertical="center"/>
    </xf>
    <xf numFmtId="223" fontId="7" fillId="0" borderId="100" xfId="0" applyNumberFormat="1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32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32" xfId="0" applyFont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textRotation="255" wrapText="1"/>
    </xf>
    <xf numFmtId="0" fontId="10" fillId="37" borderId="44" xfId="0" applyFont="1" applyFill="1" applyBorder="1" applyAlignment="1">
      <alignment horizontal="center" vertical="center" textRotation="255" wrapText="1"/>
    </xf>
    <xf numFmtId="0" fontId="10" fillId="37" borderId="43" xfId="0" applyFont="1" applyFill="1" applyBorder="1" applyAlignment="1">
      <alignment horizontal="center" vertical="center" textRotation="255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 horizontal="center" vertical="center" wrapText="1"/>
    </xf>
    <xf numFmtId="0" fontId="10" fillId="36" borderId="43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6" xfId="0" applyFont="1" applyFill="1" applyBorder="1" applyAlignment="1">
      <alignment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vertical="center" wrapText="1"/>
    </xf>
    <xf numFmtId="0" fontId="86" fillId="38" borderId="12" xfId="0" applyFont="1" applyFill="1" applyBorder="1" applyAlignment="1">
      <alignment horizontal="center" vertical="center"/>
    </xf>
    <xf numFmtId="0" fontId="86" fillId="38" borderId="72" xfId="0" applyFont="1" applyFill="1" applyBorder="1" applyAlignment="1">
      <alignment horizontal="center" vertical="center"/>
    </xf>
    <xf numFmtId="0" fontId="86" fillId="38" borderId="73" xfId="0" applyFont="1" applyFill="1" applyBorder="1" applyAlignment="1">
      <alignment horizontal="center" vertical="center"/>
    </xf>
    <xf numFmtId="0" fontId="86" fillId="38" borderId="4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84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58" fillId="26" borderId="133" xfId="49" applyBorder="1" applyAlignment="1">
      <alignment horizontal="center"/>
    </xf>
    <xf numFmtId="0" fontId="58" fillId="26" borderId="1" xfId="49" applyAlignment="1">
      <alignment horizontal="center"/>
    </xf>
    <xf numFmtId="0" fontId="87" fillId="39" borderId="84" xfId="0" applyFont="1" applyFill="1" applyBorder="1" applyAlignment="1">
      <alignment horizontal="center" vertical="center" wrapText="1"/>
    </xf>
    <xf numFmtId="0" fontId="87" fillId="39" borderId="98" xfId="0" applyFont="1" applyFill="1" applyBorder="1" applyAlignment="1">
      <alignment horizontal="center" vertical="center" wrapText="1"/>
    </xf>
    <xf numFmtId="0" fontId="87" fillId="39" borderId="84" xfId="0" applyFont="1" applyFill="1" applyBorder="1" applyAlignment="1">
      <alignment horizontal="center" vertical="center"/>
    </xf>
    <xf numFmtId="0" fontId="87" fillId="39" borderId="98" xfId="0" applyFont="1" applyFill="1" applyBorder="1" applyAlignment="1">
      <alignment horizontal="center" vertical="center"/>
    </xf>
    <xf numFmtId="0" fontId="64" fillId="25" borderId="134" xfId="49" applyFont="1" applyFill="1" applyBorder="1" applyAlignment="1">
      <alignment horizontal="center"/>
    </xf>
    <xf numFmtId="0" fontId="64" fillId="25" borderId="135" xfId="49" applyFont="1" applyFill="1" applyBorder="1" applyAlignment="1">
      <alignment horizontal="center"/>
    </xf>
    <xf numFmtId="0" fontId="64" fillId="25" borderId="136" xfId="49" applyFont="1" applyFill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84" xfId="0" applyFont="1" applyBorder="1" applyAlignment="1">
      <alignment horizontal="center" vertical="center" wrapText="1"/>
    </xf>
    <xf numFmtId="0" fontId="73" fillId="0" borderId="0" xfId="40" applyFont="1" applyAlignment="1">
      <alignment horizontal="left" vertical="center"/>
      <protection/>
    </xf>
    <xf numFmtId="0" fontId="95" fillId="34" borderId="0" xfId="40" applyFont="1" applyFill="1" applyAlignment="1">
      <alignment horizontal="center" vertical="center"/>
      <protection/>
    </xf>
    <xf numFmtId="177" fontId="95" fillId="34" borderId="0" xfId="40" applyNumberFormat="1" applyFont="1" applyFill="1" applyAlignment="1">
      <alignment horizontal="center" vertical="center"/>
      <protection/>
    </xf>
    <xf numFmtId="41" fontId="76" fillId="0" borderId="24" xfId="60" applyFont="1" applyBorder="1" applyAlignment="1">
      <alignment horizontal="center" vertical="center"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ÅëÈ­ [0]_9706~07 (2)" xfId="33"/>
    <cellStyle name="ÅëÈ­_9706~07 (2)" xfId="34"/>
    <cellStyle name="ÄÞ¸¶ [0]_9706~07 (2)" xfId="35"/>
    <cellStyle name="ÄÞ¸¶_9706~07 (2)" xfId="36"/>
    <cellStyle name="Ç¥ÁØ_9706~07 (2)" xfId="37"/>
    <cellStyle name="Comma [0] 2" xfId="38"/>
    <cellStyle name="Currency [0] 2" xfId="39"/>
    <cellStyle name="Normal 2" xfId="40"/>
    <cellStyle name="Percent 2" xfId="41"/>
    <cellStyle name="강조색1" xfId="42"/>
    <cellStyle name="강조색2" xfId="43"/>
    <cellStyle name="강조색3" xfId="44"/>
    <cellStyle name="강조색4" xfId="45"/>
    <cellStyle name="강조색5" xfId="46"/>
    <cellStyle name="강조색6" xfId="47"/>
    <cellStyle name="경고문" xfId="48"/>
    <cellStyle name="계산" xfId="49"/>
    <cellStyle name="나쁨" xfId="50"/>
    <cellStyle name="메모" xfId="51"/>
    <cellStyle name="Percent" xfId="52"/>
    <cellStyle name="백분율 2" xfId="53"/>
    <cellStyle name="백분율 3" xfId="54"/>
    <cellStyle name="보통" xfId="55"/>
    <cellStyle name="뷭?_BOOKSHIP" xfId="56"/>
    <cellStyle name="설명 텍스트" xfId="57"/>
    <cellStyle name="셀 확인" xfId="58"/>
    <cellStyle name="Comma" xfId="59"/>
    <cellStyle name="Comma [0]" xfId="60"/>
    <cellStyle name="쉼표 [0] 10 6" xfId="61"/>
    <cellStyle name="쉼표 [0] 2" xfId="62"/>
    <cellStyle name="쉼표 [0] 3" xfId="63"/>
    <cellStyle name="연결된 셀" xfId="64"/>
    <cellStyle name="Followed Hyperlink" xfId="65"/>
    <cellStyle name="요약" xfId="66"/>
    <cellStyle name="입력" xfId="67"/>
    <cellStyle name="제목" xfId="68"/>
    <cellStyle name="제목 1" xfId="69"/>
    <cellStyle name="제목 2" xfId="70"/>
    <cellStyle name="제목 3" xfId="71"/>
    <cellStyle name="제목 4" xfId="72"/>
    <cellStyle name="좋음" xfId="73"/>
    <cellStyle name="출력" xfId="74"/>
    <cellStyle name="콤마 [0]_1998구매결의" xfId="75"/>
    <cellStyle name="콤마_1998구매결의" xfId="76"/>
    <cellStyle name="Currency" xfId="77"/>
    <cellStyle name="Currency [0]" xfId="78"/>
    <cellStyle name="통화 [0] 2" xfId="79"/>
    <cellStyle name="통화 [0] 2 2" xfId="80"/>
    <cellStyle name="통화 [0] 2 3" xfId="81"/>
    <cellStyle name="표준 10" xfId="82"/>
    <cellStyle name="표준 2" xfId="83"/>
    <cellStyle name="표준 2 2" xfId="84"/>
    <cellStyle name="표준 3" xfId="85"/>
    <cellStyle name="표준 4" xfId="86"/>
    <cellStyle name="標準_IM-04-009北京梅本_IM-Q02-002ソウル竹内_Mr. Adachi(Nagoya)050228" xfId="87"/>
    <cellStyle name="Hyperlink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257175</xdr:rowOff>
    </xdr:from>
    <xdr:to>
      <xdr:col>19</xdr:col>
      <xdr:colOff>104775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39275" y="2571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색깔은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품목에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따라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변경입력함</a:t>
          </a:r>
        </a:p>
      </xdr:txBody>
    </xdr:sp>
    <xdr:clientData/>
  </xdr:twoCellAnchor>
  <xdr:twoCellAnchor>
    <xdr:from>
      <xdr:col>17</xdr:col>
      <xdr:colOff>161925</xdr:colOff>
      <xdr:row>0</xdr:row>
      <xdr:rowOff>266700</xdr:rowOff>
    </xdr:from>
    <xdr:to>
      <xdr:col>18</xdr:col>
      <xdr:colOff>19050</xdr:colOff>
      <xdr:row>1</xdr:row>
      <xdr:rowOff>0</xdr:rowOff>
    </xdr:to>
    <xdr:sp>
      <xdr:nvSpPr>
        <xdr:cNvPr id="2" name="직사각형 5"/>
        <xdr:cNvSpPr>
          <a:spLocks/>
        </xdr:cNvSpPr>
      </xdr:nvSpPr>
      <xdr:spPr>
        <a:xfrm>
          <a:off x="9439275" y="266700"/>
          <a:ext cx="0" cy="666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257175</xdr:rowOff>
    </xdr:from>
    <xdr:to>
      <xdr:col>19</xdr:col>
      <xdr:colOff>104775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39275" y="2571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색깔은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품목에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따라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변경입력함</a:t>
          </a:r>
        </a:p>
      </xdr:txBody>
    </xdr:sp>
    <xdr:clientData/>
  </xdr:twoCellAnchor>
  <xdr:twoCellAnchor>
    <xdr:from>
      <xdr:col>17</xdr:col>
      <xdr:colOff>161925</xdr:colOff>
      <xdr:row>0</xdr:row>
      <xdr:rowOff>266700</xdr:rowOff>
    </xdr:from>
    <xdr:to>
      <xdr:col>18</xdr:col>
      <xdr:colOff>19050</xdr:colOff>
      <xdr:row>1</xdr:row>
      <xdr:rowOff>0</xdr:rowOff>
    </xdr:to>
    <xdr:sp>
      <xdr:nvSpPr>
        <xdr:cNvPr id="2" name="직사각형 5"/>
        <xdr:cNvSpPr>
          <a:spLocks/>
        </xdr:cNvSpPr>
      </xdr:nvSpPr>
      <xdr:spPr>
        <a:xfrm>
          <a:off x="9439275" y="266700"/>
          <a:ext cx="0" cy="666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15</xdr:row>
      <xdr:rowOff>38100</xdr:rowOff>
    </xdr:from>
    <xdr:to>
      <xdr:col>8</xdr:col>
      <xdr:colOff>628650</xdr:colOff>
      <xdr:row>17</xdr:row>
      <xdr:rowOff>95250</xdr:rowOff>
    </xdr:to>
    <xdr:sp>
      <xdr:nvSpPr>
        <xdr:cNvPr id="1" name="오른쪽 화살표 1"/>
        <xdr:cNvSpPr>
          <a:spLocks/>
        </xdr:cNvSpPr>
      </xdr:nvSpPr>
      <xdr:spPr>
        <a:xfrm>
          <a:off x="7096125" y="2819400"/>
          <a:ext cx="504825" cy="400050"/>
        </a:xfrm>
        <a:prstGeom prst="rightArrow">
          <a:avLst>
            <a:gd name="adj" fmla="val 103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  <xdr:twoCellAnchor>
    <xdr:from>
      <xdr:col>12</xdr:col>
      <xdr:colOff>847725</xdr:colOff>
      <xdr:row>22</xdr:row>
      <xdr:rowOff>57150</xdr:rowOff>
    </xdr:from>
    <xdr:to>
      <xdr:col>13</xdr:col>
      <xdr:colOff>190500</xdr:colOff>
      <xdr:row>24</xdr:row>
      <xdr:rowOff>142875</xdr:rowOff>
    </xdr:to>
    <xdr:sp>
      <xdr:nvSpPr>
        <xdr:cNvPr id="2" name="오른쪽 화살표 2"/>
        <xdr:cNvSpPr>
          <a:spLocks/>
        </xdr:cNvSpPr>
      </xdr:nvSpPr>
      <xdr:spPr>
        <a:xfrm rot="5400000">
          <a:off x="11439525" y="4048125"/>
          <a:ext cx="400050" cy="428625"/>
        </a:xfrm>
        <a:prstGeom prst="rightArrow">
          <a:avLst>
            <a:gd name="adj" fmla="val 2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28575</xdr:rowOff>
    </xdr:from>
    <xdr:to>
      <xdr:col>8</xdr:col>
      <xdr:colOff>590550</xdr:colOff>
      <xdr:row>33</xdr:row>
      <xdr:rowOff>85725</xdr:rowOff>
    </xdr:to>
    <xdr:sp>
      <xdr:nvSpPr>
        <xdr:cNvPr id="3" name="오른쪽 화살표 3"/>
        <xdr:cNvSpPr>
          <a:spLocks/>
        </xdr:cNvSpPr>
      </xdr:nvSpPr>
      <xdr:spPr>
        <a:xfrm rot="10800000">
          <a:off x="7058025" y="5619750"/>
          <a:ext cx="504825" cy="400050"/>
        </a:xfrm>
        <a:prstGeom prst="rightArrow">
          <a:avLst>
            <a:gd name="adj" fmla="val 103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  <xdr:twoCellAnchor>
    <xdr:from>
      <xdr:col>4</xdr:col>
      <xdr:colOff>838200</xdr:colOff>
      <xdr:row>38</xdr:row>
      <xdr:rowOff>47625</xdr:rowOff>
    </xdr:from>
    <xdr:to>
      <xdr:col>5</xdr:col>
      <xdr:colOff>209550</xdr:colOff>
      <xdr:row>40</xdr:row>
      <xdr:rowOff>133350</xdr:rowOff>
    </xdr:to>
    <xdr:sp>
      <xdr:nvSpPr>
        <xdr:cNvPr id="4" name="오른쪽 화살표 4"/>
        <xdr:cNvSpPr>
          <a:spLocks/>
        </xdr:cNvSpPr>
      </xdr:nvSpPr>
      <xdr:spPr>
        <a:xfrm rot="5400000">
          <a:off x="3581400" y="6848475"/>
          <a:ext cx="428625" cy="42862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체"/>
              <a:ea typeface="돋움체"/>
              <a:cs typeface="돋움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4" sqref="D4:D15"/>
    </sheetView>
  </sheetViews>
  <sheetFormatPr defaultColWidth="9.00390625" defaultRowHeight="13.5"/>
  <cols>
    <col min="1" max="1" width="12.50390625" style="37" customWidth="1"/>
    <col min="2" max="2" width="7.125" style="37" customWidth="1"/>
    <col min="3" max="3" width="13.375" style="37" customWidth="1"/>
    <col min="4" max="4" width="35.625" style="79" bestFit="1" customWidth="1"/>
    <col min="5" max="5" width="26.00390625" style="37" bestFit="1" customWidth="1"/>
    <col min="6" max="6" width="7.50390625" style="47" customWidth="1"/>
    <col min="7" max="7" width="6.625" style="333" customWidth="1"/>
    <col min="8" max="8" width="4.75390625" style="37" bestFit="1" customWidth="1"/>
    <col min="9" max="9" width="12.125" style="391" bestFit="1" customWidth="1"/>
    <col min="10" max="10" width="14.00390625" style="38" bestFit="1" customWidth="1"/>
    <col min="11" max="11" width="9.625" style="106" customWidth="1"/>
    <col min="12" max="12" width="9.875" style="106" customWidth="1"/>
    <col min="13" max="13" width="12.125" style="579" customWidth="1"/>
    <col min="14" max="14" width="9.625" style="106" customWidth="1"/>
    <col min="15" max="16" width="3.875" style="37" customWidth="1"/>
    <col min="17" max="17" width="2.625" style="37" customWidth="1"/>
    <col min="18" max="18" width="36.875" style="37" customWidth="1"/>
    <col min="19" max="19" width="9.00390625" style="37" customWidth="1"/>
    <col min="20" max="20" width="16.50390625" style="37" customWidth="1"/>
    <col min="21" max="21" width="9.00390625" style="37" customWidth="1"/>
    <col min="22" max="16384" width="9.00390625" style="37" customWidth="1"/>
  </cols>
  <sheetData>
    <row r="1" spans="1:18" ht="24.75" customHeight="1" thickBot="1">
      <c r="A1" s="105" t="s">
        <v>377</v>
      </c>
      <c r="B1" s="105"/>
      <c r="C1" s="35"/>
      <c r="D1" s="171" t="s">
        <v>235</v>
      </c>
      <c r="E1" s="517">
        <v>1000</v>
      </c>
      <c r="J1" s="554"/>
      <c r="K1" s="105"/>
      <c r="L1" s="742" t="s">
        <v>231</v>
      </c>
      <c r="M1" s="742"/>
      <c r="N1" s="232" t="s">
        <v>234</v>
      </c>
      <c r="O1" s="743">
        <v>1150</v>
      </c>
      <c r="P1" s="743"/>
      <c r="Q1" s="743"/>
      <c r="R1" s="228" t="s">
        <v>367</v>
      </c>
    </row>
    <row r="2" spans="1:18" ht="24.75" customHeight="1" thickBot="1">
      <c r="A2" s="105"/>
      <c r="B2" s="105"/>
      <c r="C2" s="35"/>
      <c r="D2" s="171" t="s">
        <v>236</v>
      </c>
      <c r="E2" s="172">
        <v>1</v>
      </c>
      <c r="I2" s="744" t="s">
        <v>229</v>
      </c>
      <c r="J2" s="745"/>
      <c r="K2" s="746"/>
      <c r="L2" s="747" t="s">
        <v>230</v>
      </c>
      <c r="M2" s="748"/>
      <c r="N2" s="749"/>
      <c r="O2" s="231"/>
      <c r="P2" s="229"/>
      <c r="Q2" s="230"/>
      <c r="R2" s="173"/>
    </row>
    <row r="3" spans="1:18" s="143" customFormat="1" ht="13.5" customHeight="1" thickBot="1">
      <c r="A3" s="141" t="s">
        <v>33</v>
      </c>
      <c r="B3" s="141"/>
      <c r="C3" s="141" t="s">
        <v>34</v>
      </c>
      <c r="D3" s="142" t="s">
        <v>35</v>
      </c>
      <c r="E3" s="141" t="s">
        <v>36</v>
      </c>
      <c r="F3" s="223" t="s">
        <v>267</v>
      </c>
      <c r="G3" s="773" t="s">
        <v>264</v>
      </c>
      <c r="H3" s="774"/>
      <c r="I3" s="392" t="s">
        <v>37</v>
      </c>
      <c r="J3" s="234" t="s">
        <v>38</v>
      </c>
      <c r="K3" s="235" t="s">
        <v>241</v>
      </c>
      <c r="L3" s="233" t="s">
        <v>37</v>
      </c>
      <c r="M3" s="556" t="s">
        <v>38</v>
      </c>
      <c r="N3" s="235" t="s">
        <v>39</v>
      </c>
      <c r="O3" s="752" t="s">
        <v>40</v>
      </c>
      <c r="P3" s="711"/>
      <c r="Q3" s="141" t="s">
        <v>41</v>
      </c>
      <c r="R3" s="141" t="s">
        <v>42</v>
      </c>
    </row>
    <row r="4" spans="1:18" s="55" customFormat="1" ht="13.5" customHeight="1">
      <c r="A4" s="791" t="s">
        <v>365</v>
      </c>
      <c r="B4" s="843" t="s">
        <v>240</v>
      </c>
      <c r="C4" s="853" t="s">
        <v>268</v>
      </c>
      <c r="D4" s="149"/>
      <c r="E4" s="149"/>
      <c r="F4" s="332">
        <v>1</v>
      </c>
      <c r="G4" s="428">
        <f aca="true" t="shared" si="0" ref="G4:G9">$E$1</f>
        <v>1000</v>
      </c>
      <c r="H4" s="150" t="s">
        <v>61</v>
      </c>
      <c r="I4" s="509">
        <v>5846</v>
      </c>
      <c r="J4" s="440">
        <f>I4*G4*F4</f>
        <v>5846000</v>
      </c>
      <c r="K4" s="755" t="s">
        <v>376</v>
      </c>
      <c r="L4" s="240">
        <f>I4/$O$1</f>
        <v>5.0834782608695654</v>
      </c>
      <c r="M4" s="557">
        <f>L4*G4*F4</f>
        <v>5083.478260869565</v>
      </c>
      <c r="N4" s="149"/>
      <c r="O4" s="430"/>
      <c r="P4" s="150" t="s">
        <v>226</v>
      </c>
      <c r="Q4" s="215"/>
      <c r="R4" s="135" t="s">
        <v>349</v>
      </c>
    </row>
    <row r="5" spans="1:19" s="79" customFormat="1" ht="13.5" customHeight="1">
      <c r="A5" s="791"/>
      <c r="B5" s="799"/>
      <c r="C5" s="854"/>
      <c r="D5" s="302"/>
      <c r="E5" s="302"/>
      <c r="F5" s="420">
        <v>1</v>
      </c>
      <c r="G5" s="429">
        <f t="shared" si="0"/>
        <v>1000</v>
      </c>
      <c r="H5" s="304" t="s">
        <v>61</v>
      </c>
      <c r="I5" s="508">
        <v>2650</v>
      </c>
      <c r="J5" s="440">
        <f aca="true" t="shared" si="1" ref="J5:J15">I5*G5*F5</f>
        <v>2650000</v>
      </c>
      <c r="K5" s="756"/>
      <c r="L5" s="305">
        <f>I5/$O$1</f>
        <v>2.3043478260869565</v>
      </c>
      <c r="M5" s="557">
        <f aca="true" t="shared" si="2" ref="M5:M14">L5*G5*F5</f>
        <v>2304.3478260869565</v>
      </c>
      <c r="N5" s="302"/>
      <c r="O5" s="431"/>
      <c r="P5" s="304" t="s">
        <v>225</v>
      </c>
      <c r="Q5" s="216"/>
      <c r="R5" s="215" t="s">
        <v>350</v>
      </c>
      <c r="S5" s="106"/>
    </row>
    <row r="6" spans="1:18" s="79" customFormat="1" ht="13.5" customHeight="1">
      <c r="A6" s="791"/>
      <c r="B6" s="799"/>
      <c r="C6" s="854"/>
      <c r="D6" s="302"/>
      <c r="E6" s="306"/>
      <c r="F6" s="420">
        <v>1</v>
      </c>
      <c r="G6" s="429">
        <f t="shared" si="0"/>
        <v>1000</v>
      </c>
      <c r="H6" s="304" t="s">
        <v>61</v>
      </c>
      <c r="I6" s="508">
        <v>960</v>
      </c>
      <c r="J6" s="440">
        <f t="shared" si="1"/>
        <v>960000</v>
      </c>
      <c r="K6" s="756"/>
      <c r="L6" s="305">
        <f aca="true" t="shared" si="3" ref="L6:L14">I6/$O$1</f>
        <v>0.8347826086956521</v>
      </c>
      <c r="M6" s="557">
        <f t="shared" si="2"/>
        <v>834.7826086956521</v>
      </c>
      <c r="N6" s="302"/>
      <c r="O6" s="431"/>
      <c r="P6" s="304" t="s">
        <v>225</v>
      </c>
      <c r="Q6" s="190"/>
      <c r="R6" s="58" t="s">
        <v>351</v>
      </c>
    </row>
    <row r="7" spans="1:19" s="55" customFormat="1" ht="13.5" customHeight="1">
      <c r="A7" s="791"/>
      <c r="B7" s="799"/>
      <c r="C7" s="854"/>
      <c r="D7" s="302"/>
      <c r="E7" s="302"/>
      <c r="F7" s="303">
        <v>1</v>
      </c>
      <c r="G7" s="429">
        <f t="shared" si="0"/>
        <v>1000</v>
      </c>
      <c r="H7" s="304" t="s">
        <v>237</v>
      </c>
      <c r="I7" s="508">
        <v>2952</v>
      </c>
      <c r="J7" s="440">
        <f t="shared" si="1"/>
        <v>2952000</v>
      </c>
      <c r="K7" s="756"/>
      <c r="L7" s="305">
        <f>I7/$O$1</f>
        <v>2.5669565217391304</v>
      </c>
      <c r="M7" s="557">
        <f t="shared" si="2"/>
        <v>2566.9565217391305</v>
      </c>
      <c r="N7" s="302"/>
      <c r="O7" s="431"/>
      <c r="P7" s="304" t="s">
        <v>225</v>
      </c>
      <c r="Q7" s="190"/>
      <c r="R7" s="58" t="s">
        <v>352</v>
      </c>
      <c r="S7" s="79"/>
    </row>
    <row r="8" spans="1:19" s="187" customFormat="1" ht="13.5" customHeight="1">
      <c r="A8" s="791"/>
      <c r="B8" s="799"/>
      <c r="C8" s="854"/>
      <c r="D8" s="302"/>
      <c r="E8" s="302"/>
      <c r="F8" s="420">
        <v>1</v>
      </c>
      <c r="G8" s="429">
        <f t="shared" si="0"/>
        <v>1000</v>
      </c>
      <c r="H8" s="304" t="s">
        <v>61</v>
      </c>
      <c r="I8" s="510">
        <v>652</v>
      </c>
      <c r="J8" s="440">
        <f t="shared" si="1"/>
        <v>652000</v>
      </c>
      <c r="K8" s="756"/>
      <c r="L8" s="305">
        <f t="shared" si="3"/>
        <v>0.5669565217391305</v>
      </c>
      <c r="M8" s="557">
        <f t="shared" si="2"/>
        <v>566.9565217391305</v>
      </c>
      <c r="N8" s="302"/>
      <c r="O8" s="431"/>
      <c r="P8" s="304"/>
      <c r="Q8" s="190"/>
      <c r="R8" s="190" t="s">
        <v>353</v>
      </c>
      <c r="S8" s="327"/>
    </row>
    <row r="9" spans="1:19" s="187" customFormat="1" ht="13.5" customHeight="1">
      <c r="A9" s="791"/>
      <c r="B9" s="799"/>
      <c r="C9" s="854"/>
      <c r="D9" s="302"/>
      <c r="E9" s="302"/>
      <c r="F9" s="303">
        <v>1</v>
      </c>
      <c r="G9" s="429">
        <f t="shared" si="0"/>
        <v>1000</v>
      </c>
      <c r="H9" s="304" t="s">
        <v>61</v>
      </c>
      <c r="I9" s="508">
        <v>114</v>
      </c>
      <c r="J9" s="440">
        <f t="shared" si="1"/>
        <v>114000</v>
      </c>
      <c r="K9" s="756"/>
      <c r="L9" s="305">
        <f t="shared" si="3"/>
        <v>0.09913043478260869</v>
      </c>
      <c r="M9" s="557">
        <f t="shared" si="2"/>
        <v>99.13043478260869</v>
      </c>
      <c r="N9" s="302"/>
      <c r="O9" s="431"/>
      <c r="P9" s="304"/>
      <c r="Q9" s="190"/>
      <c r="R9" s="190"/>
      <c r="S9" s="327"/>
    </row>
    <row r="10" spans="1:19" s="187" customFormat="1" ht="13.5" customHeight="1">
      <c r="A10" s="791"/>
      <c r="B10" s="799"/>
      <c r="C10" s="854"/>
      <c r="D10" s="302"/>
      <c r="E10" s="302"/>
      <c r="F10" s="420">
        <v>1</v>
      </c>
      <c r="G10" s="429">
        <f>$E$1</f>
        <v>1000</v>
      </c>
      <c r="H10" s="304" t="s">
        <v>61</v>
      </c>
      <c r="I10" s="508">
        <v>437</v>
      </c>
      <c r="J10" s="440">
        <f t="shared" si="1"/>
        <v>437000</v>
      </c>
      <c r="K10" s="756"/>
      <c r="L10" s="305">
        <f t="shared" si="3"/>
        <v>0.38</v>
      </c>
      <c r="M10" s="557">
        <f t="shared" si="2"/>
        <v>380</v>
      </c>
      <c r="N10" s="302"/>
      <c r="O10" s="431"/>
      <c r="P10" s="304"/>
      <c r="Q10" s="190"/>
      <c r="R10" s="190"/>
      <c r="S10" s="327"/>
    </row>
    <row r="11" spans="1:19" s="187" customFormat="1" ht="13.5" customHeight="1">
      <c r="A11" s="791"/>
      <c r="B11" s="799"/>
      <c r="C11" s="854"/>
      <c r="D11" s="302"/>
      <c r="E11" s="302"/>
      <c r="F11" s="420">
        <v>1</v>
      </c>
      <c r="G11" s="429">
        <f>$E$1</f>
        <v>1000</v>
      </c>
      <c r="H11" s="304" t="s">
        <v>61</v>
      </c>
      <c r="I11" s="508">
        <v>98</v>
      </c>
      <c r="J11" s="440">
        <f t="shared" si="1"/>
        <v>98000</v>
      </c>
      <c r="K11" s="756"/>
      <c r="L11" s="305">
        <f t="shared" si="3"/>
        <v>0.08521739130434783</v>
      </c>
      <c r="M11" s="557">
        <f t="shared" si="2"/>
        <v>85.21739130434783</v>
      </c>
      <c r="N11" s="302"/>
      <c r="O11" s="431"/>
      <c r="P11" s="304"/>
      <c r="Q11" s="190"/>
      <c r="R11" s="190"/>
      <c r="S11" s="327"/>
    </row>
    <row r="12" spans="1:19" s="187" customFormat="1" ht="13.5" customHeight="1">
      <c r="A12" s="791"/>
      <c r="B12" s="799"/>
      <c r="C12" s="854"/>
      <c r="D12" s="302"/>
      <c r="E12" s="302"/>
      <c r="F12" s="420">
        <v>1</v>
      </c>
      <c r="G12" s="429">
        <f>E1</f>
        <v>1000</v>
      </c>
      <c r="H12" s="304" t="s">
        <v>221</v>
      </c>
      <c r="I12" s="508">
        <v>113</v>
      </c>
      <c r="J12" s="440">
        <f t="shared" si="1"/>
        <v>113000</v>
      </c>
      <c r="K12" s="756"/>
      <c r="L12" s="305">
        <f>I12/$O$1</f>
        <v>0.09826086956521739</v>
      </c>
      <c r="M12" s="557">
        <f t="shared" si="2"/>
        <v>98.26086956521739</v>
      </c>
      <c r="N12" s="302"/>
      <c r="O12" s="431"/>
      <c r="P12" s="304"/>
      <c r="Q12" s="190"/>
      <c r="R12" s="190"/>
      <c r="S12" s="521"/>
    </row>
    <row r="13" spans="1:19" s="187" customFormat="1" ht="13.5" customHeight="1">
      <c r="A13" s="791"/>
      <c r="B13" s="799"/>
      <c r="C13" s="854"/>
      <c r="D13" s="302"/>
      <c r="E13" s="302"/>
      <c r="F13" s="420">
        <v>1</v>
      </c>
      <c r="G13" s="429">
        <f>$E$1</f>
        <v>1000</v>
      </c>
      <c r="H13" s="304" t="s">
        <v>61</v>
      </c>
      <c r="I13" s="511">
        <v>58</v>
      </c>
      <c r="J13" s="440">
        <f t="shared" si="1"/>
        <v>58000</v>
      </c>
      <c r="K13" s="756"/>
      <c r="L13" s="305">
        <f t="shared" si="3"/>
        <v>0.050434782608695654</v>
      </c>
      <c r="M13" s="557">
        <f t="shared" si="2"/>
        <v>50.434782608695656</v>
      </c>
      <c r="N13" s="302"/>
      <c r="O13" s="431"/>
      <c r="P13" s="304"/>
      <c r="Q13" s="190"/>
      <c r="R13" s="190"/>
      <c r="S13" s="327"/>
    </row>
    <row r="14" spans="1:19" s="187" customFormat="1" ht="13.5" customHeight="1">
      <c r="A14" s="791"/>
      <c r="B14" s="799"/>
      <c r="C14" s="854"/>
      <c r="D14" s="302"/>
      <c r="E14" s="302"/>
      <c r="F14" s="420">
        <v>1</v>
      </c>
      <c r="G14" s="429">
        <f>$E$1</f>
        <v>1000</v>
      </c>
      <c r="H14" s="304" t="s">
        <v>61</v>
      </c>
      <c r="I14" s="511">
        <v>58</v>
      </c>
      <c r="J14" s="440">
        <f t="shared" si="1"/>
        <v>58000</v>
      </c>
      <c r="K14" s="756"/>
      <c r="L14" s="305">
        <f t="shared" si="3"/>
        <v>0.050434782608695654</v>
      </c>
      <c r="M14" s="557">
        <f t="shared" si="2"/>
        <v>50.434782608695656</v>
      </c>
      <c r="N14" s="302"/>
      <c r="O14" s="431"/>
      <c r="P14" s="304"/>
      <c r="Q14" s="190"/>
      <c r="R14" s="190"/>
      <c r="S14" s="327"/>
    </row>
    <row r="15" spans="1:19" s="187" customFormat="1" ht="13.5" customHeight="1" thickBot="1">
      <c r="A15" s="791"/>
      <c r="B15" s="799"/>
      <c r="C15" s="854"/>
      <c r="D15" s="416"/>
      <c r="E15" s="416"/>
      <c r="F15" s="421">
        <v>1</v>
      </c>
      <c r="G15" s="429">
        <f>$E$1</f>
        <v>1000</v>
      </c>
      <c r="H15" s="417" t="s">
        <v>61</v>
      </c>
      <c r="I15" s="512">
        <v>40</v>
      </c>
      <c r="J15" s="440">
        <f t="shared" si="1"/>
        <v>40000</v>
      </c>
      <c r="K15" s="757"/>
      <c r="L15" s="418">
        <f>I15/$O$1</f>
        <v>0.034782608695652174</v>
      </c>
      <c r="M15" s="557">
        <f>L15*G15*F15</f>
        <v>34.78260869565217</v>
      </c>
      <c r="N15" s="416"/>
      <c r="O15" s="432"/>
      <c r="P15" s="417"/>
      <c r="Q15" s="419"/>
      <c r="R15" s="190"/>
      <c r="S15" s="327"/>
    </row>
    <row r="16" spans="1:19" s="55" customFormat="1" ht="13.5" customHeight="1" thickTop="1">
      <c r="A16" s="791"/>
      <c r="B16" s="799"/>
      <c r="C16" s="812" t="s">
        <v>228</v>
      </c>
      <c r="D16" s="813"/>
      <c r="E16" s="813"/>
      <c r="F16" s="813"/>
      <c r="G16" s="813"/>
      <c r="H16" s="814"/>
      <c r="I16" s="762">
        <f>SUM(J4:J15)</f>
        <v>13978000</v>
      </c>
      <c r="J16" s="763"/>
      <c r="K16" s="226"/>
      <c r="L16" s="758">
        <f>SUM(M4:M15)</f>
        <v>12154.782608695652</v>
      </c>
      <c r="M16" s="759"/>
      <c r="N16" s="226"/>
      <c r="O16" s="804"/>
      <c r="P16" s="805"/>
      <c r="Q16" s="226"/>
      <c r="R16" s="170"/>
      <c r="S16" s="120"/>
    </row>
    <row r="17" spans="1:19" s="55" customFormat="1" ht="1.5" customHeight="1">
      <c r="A17" s="792"/>
      <c r="B17" s="844"/>
      <c r="C17" s="818"/>
      <c r="D17" s="819"/>
      <c r="E17" s="819"/>
      <c r="F17" s="819"/>
      <c r="G17" s="819"/>
      <c r="H17" s="820"/>
      <c r="I17" s="821"/>
      <c r="J17" s="821"/>
      <c r="K17" s="768"/>
      <c r="L17" s="768"/>
      <c r="M17" s="768"/>
      <c r="N17" s="768"/>
      <c r="O17" s="768"/>
      <c r="P17" s="768"/>
      <c r="Q17" s="768"/>
      <c r="R17" s="134"/>
      <c r="S17" s="120"/>
    </row>
    <row r="18" spans="1:18" s="79" customFormat="1" ht="15.75" customHeight="1">
      <c r="A18" s="788" t="s">
        <v>263</v>
      </c>
      <c r="B18" s="789"/>
      <c r="C18" s="789"/>
      <c r="D18" s="789"/>
      <c r="E18" s="790"/>
      <c r="F18" s="223" t="s">
        <v>238</v>
      </c>
      <c r="G18" s="782">
        <f>I18/E1</f>
        <v>13978</v>
      </c>
      <c r="H18" s="782"/>
      <c r="I18" s="712">
        <f>I16</f>
        <v>13978000</v>
      </c>
      <c r="J18" s="713"/>
      <c r="K18" s="109"/>
      <c r="L18" s="750">
        <f>SUM(M4:M15)</f>
        <v>12154.782608695652</v>
      </c>
      <c r="M18" s="751"/>
      <c r="N18" s="249">
        <f>G18/O1</f>
        <v>12.154782608695653</v>
      </c>
      <c r="O18" s="753"/>
      <c r="P18" s="754"/>
      <c r="Q18" s="110"/>
      <c r="R18" s="109"/>
    </row>
    <row r="19" spans="1:18" ht="13.5" customHeight="1">
      <c r="A19" s="128"/>
      <c r="B19" s="128"/>
      <c r="C19" s="128"/>
      <c r="D19" s="129"/>
      <c r="E19" s="128"/>
      <c r="F19" s="130"/>
      <c r="G19" s="335"/>
      <c r="H19" s="128"/>
      <c r="I19" s="393"/>
      <c r="J19" s="131"/>
      <c r="K19" s="132"/>
      <c r="L19" s="132"/>
      <c r="M19" s="558"/>
      <c r="N19" s="555"/>
      <c r="O19" s="128"/>
      <c r="P19" s="128"/>
      <c r="Q19" s="128"/>
      <c r="R19" s="128"/>
    </row>
    <row r="20" spans="1:18" s="79" customFormat="1" ht="13.5" customHeight="1">
      <c r="A20" s="775" t="s">
        <v>365</v>
      </c>
      <c r="B20" s="775" t="s">
        <v>239</v>
      </c>
      <c r="C20" s="815" t="s">
        <v>366</v>
      </c>
      <c r="D20" s="363"/>
      <c r="E20" s="364"/>
      <c r="F20" s="422">
        <v>1</v>
      </c>
      <c r="G20" s="424">
        <f>$E$1</f>
        <v>1000</v>
      </c>
      <c r="H20" s="375" t="s">
        <v>61</v>
      </c>
      <c r="I20" s="394">
        <v>635</v>
      </c>
      <c r="J20" s="426">
        <f>G20*I20*F20</f>
        <v>635000</v>
      </c>
      <c r="K20" s="164"/>
      <c r="L20" s="383">
        <f>I20/$O$1</f>
        <v>0.5521739130434783</v>
      </c>
      <c r="M20" s="559">
        <f>L20*G20</f>
        <v>552.1739130434783</v>
      </c>
      <c r="N20" s="164"/>
      <c r="O20" s="371"/>
      <c r="P20" s="372" t="s">
        <v>226</v>
      </c>
      <c r="Q20" s="215"/>
      <c r="R20" s="370" t="s">
        <v>316</v>
      </c>
    </row>
    <row r="21" spans="1:18" s="327" customFormat="1" ht="13.5" customHeight="1">
      <c r="A21" s="775"/>
      <c r="B21" s="775"/>
      <c r="C21" s="816"/>
      <c r="D21" s="367"/>
      <c r="E21" s="380"/>
      <c r="F21" s="423">
        <v>1</v>
      </c>
      <c r="G21" s="378">
        <f aca="true" t="shared" si="4" ref="G21:G60">$E$1</f>
        <v>1000</v>
      </c>
      <c r="H21" s="379" t="s">
        <v>61</v>
      </c>
      <c r="I21" s="395">
        <v>1835</v>
      </c>
      <c r="J21" s="211">
        <f aca="true" t="shared" si="5" ref="J21:J60">G21*I21*F21</f>
        <v>1835000</v>
      </c>
      <c r="K21" s="349"/>
      <c r="L21" s="237">
        <f>I21/$O$1</f>
        <v>1.5956521739130434</v>
      </c>
      <c r="M21" s="560">
        <f>L21*G21</f>
        <v>1595.6521739130433</v>
      </c>
      <c r="N21" s="210"/>
      <c r="O21" s="381"/>
      <c r="P21" s="382"/>
      <c r="Q21" s="359"/>
      <c r="R21" s="358" t="s">
        <v>317</v>
      </c>
    </row>
    <row r="22" spans="1:18" s="327" customFormat="1" ht="13.5" customHeight="1">
      <c r="A22" s="775"/>
      <c r="B22" s="775"/>
      <c r="C22" s="816"/>
      <c r="D22" s="297"/>
      <c r="E22" s="297"/>
      <c r="F22" s="427">
        <v>1</v>
      </c>
      <c r="G22" s="339">
        <f>$E$1</f>
        <v>1000</v>
      </c>
      <c r="H22" s="329" t="s">
        <v>61</v>
      </c>
      <c r="I22" s="401">
        <v>695</v>
      </c>
      <c r="J22" s="206">
        <f>G22*I22</f>
        <v>695000</v>
      </c>
      <c r="K22" s="297"/>
      <c r="L22" s="236">
        <f>I22/$O$1</f>
        <v>0.6043478260869565</v>
      </c>
      <c r="M22" s="559">
        <f>L22*G22</f>
        <v>604.3478260869565</v>
      </c>
      <c r="N22" s="353"/>
      <c r="O22" s="285"/>
      <c r="P22" s="263"/>
      <c r="Q22" s="462"/>
      <c r="R22" s="463" t="s">
        <v>318</v>
      </c>
    </row>
    <row r="23" spans="1:18" s="327" customFormat="1" ht="13.5" customHeight="1">
      <c r="A23" s="775"/>
      <c r="B23" s="775"/>
      <c r="C23" s="817"/>
      <c r="D23" s="203"/>
      <c r="E23" s="355"/>
      <c r="F23" s="422">
        <v>1</v>
      </c>
      <c r="G23" s="424">
        <f t="shared" si="4"/>
        <v>1000</v>
      </c>
      <c r="H23" s="375" t="s">
        <v>61</v>
      </c>
      <c r="I23" s="396">
        <f>L23*O1</f>
        <v>4657.5</v>
      </c>
      <c r="J23" s="426">
        <f t="shared" si="5"/>
        <v>4657500</v>
      </c>
      <c r="K23" s="365"/>
      <c r="L23" s="366">
        <v>4.05</v>
      </c>
      <c r="M23" s="561">
        <f aca="true" t="shared" si="6" ref="M23:M60">L23*G23*F23</f>
        <v>4050</v>
      </c>
      <c r="N23" s="163"/>
      <c r="O23" s="356"/>
      <c r="P23" s="357" t="s">
        <v>226</v>
      </c>
      <c r="Q23" s="354"/>
      <c r="R23" s="354"/>
    </row>
    <row r="24" spans="1:18" s="327" customFormat="1" ht="13.5" customHeight="1">
      <c r="A24" s="775"/>
      <c r="B24" s="775"/>
      <c r="C24" s="817"/>
      <c r="D24" s="168"/>
      <c r="E24" s="349"/>
      <c r="F24" s="350">
        <v>2</v>
      </c>
      <c r="G24" s="376">
        <f t="shared" si="4"/>
        <v>1000</v>
      </c>
      <c r="H24" s="377" t="s">
        <v>61</v>
      </c>
      <c r="I24" s="397">
        <f>L24*O1</f>
        <v>897</v>
      </c>
      <c r="J24" s="195">
        <f t="shared" si="5"/>
        <v>1794000</v>
      </c>
      <c r="K24" s="361"/>
      <c r="L24" s="362">
        <v>0.78</v>
      </c>
      <c r="M24" s="562">
        <f t="shared" si="6"/>
        <v>1560</v>
      </c>
      <c r="N24" s="188"/>
      <c r="O24" s="198"/>
      <c r="P24" s="197"/>
      <c r="Q24" s="216"/>
      <c r="R24" s="216"/>
    </row>
    <row r="25" spans="1:18" s="120" customFormat="1" ht="13.5" customHeight="1">
      <c r="A25" s="775"/>
      <c r="B25" s="775"/>
      <c r="C25" s="702"/>
      <c r="D25" s="193"/>
      <c r="E25" s="189"/>
      <c r="F25" s="201">
        <v>16</v>
      </c>
      <c r="G25" s="376">
        <f t="shared" si="4"/>
        <v>1000</v>
      </c>
      <c r="H25" s="377" t="s">
        <v>61</v>
      </c>
      <c r="I25" s="397">
        <v>2</v>
      </c>
      <c r="J25" s="195">
        <f t="shared" si="5"/>
        <v>32000</v>
      </c>
      <c r="K25" s="361"/>
      <c r="L25" s="414">
        <f aca="true" t="shared" si="7" ref="L25:L60">I25/$O$1</f>
        <v>0.0017391304347826088</v>
      </c>
      <c r="M25" s="562">
        <f t="shared" si="6"/>
        <v>27.826086956521742</v>
      </c>
      <c r="N25" s="188"/>
      <c r="O25" s="198"/>
      <c r="P25" s="197" t="s">
        <v>225</v>
      </c>
      <c r="Q25" s="216"/>
      <c r="R25" s="136"/>
    </row>
    <row r="26" spans="1:18" s="327" customFormat="1" ht="13.5" customHeight="1">
      <c r="A26" s="775"/>
      <c r="B26" s="775"/>
      <c r="C26" s="702"/>
      <c r="D26" s="298"/>
      <c r="E26" s="189"/>
      <c r="F26" s="350">
        <v>4</v>
      </c>
      <c r="G26" s="376">
        <f t="shared" si="4"/>
        <v>1000</v>
      </c>
      <c r="H26" s="385" t="s">
        <v>61</v>
      </c>
      <c r="I26" s="397">
        <v>7</v>
      </c>
      <c r="J26" s="195">
        <f t="shared" si="5"/>
        <v>28000</v>
      </c>
      <c r="K26" s="361"/>
      <c r="L26" s="414">
        <f t="shared" si="7"/>
        <v>0.00608695652173913</v>
      </c>
      <c r="M26" s="562">
        <f t="shared" si="6"/>
        <v>24.34782608695652</v>
      </c>
      <c r="N26" s="188"/>
      <c r="O26" s="198"/>
      <c r="P26" s="197"/>
      <c r="Q26" s="216"/>
      <c r="R26" s="216"/>
    </row>
    <row r="27" spans="1:18" s="120" customFormat="1" ht="13.5" customHeight="1">
      <c r="A27" s="775"/>
      <c r="B27" s="775"/>
      <c r="C27" s="702"/>
      <c r="D27" s="298"/>
      <c r="E27" s="189"/>
      <c r="F27" s="350">
        <v>2</v>
      </c>
      <c r="G27" s="376">
        <f t="shared" si="4"/>
        <v>1000</v>
      </c>
      <c r="H27" s="384" t="s">
        <v>61</v>
      </c>
      <c r="I27" s="397">
        <v>1</v>
      </c>
      <c r="J27" s="195">
        <f t="shared" si="5"/>
        <v>2000</v>
      </c>
      <c r="K27" s="361"/>
      <c r="L27" s="414">
        <f t="shared" si="7"/>
        <v>0.0008695652173913044</v>
      </c>
      <c r="M27" s="562">
        <f t="shared" si="6"/>
        <v>1.7391304347826089</v>
      </c>
      <c r="N27" s="188"/>
      <c r="O27" s="198"/>
      <c r="P27" s="197" t="s">
        <v>225</v>
      </c>
      <c r="Q27" s="216"/>
      <c r="R27" s="136"/>
    </row>
    <row r="28" spans="1:18" s="120" customFormat="1" ht="13.5" customHeight="1">
      <c r="A28" s="775"/>
      <c r="B28" s="775"/>
      <c r="C28" s="702"/>
      <c r="D28" s="298"/>
      <c r="E28" s="193"/>
      <c r="F28" s="350">
        <v>3</v>
      </c>
      <c r="G28" s="376">
        <f t="shared" si="4"/>
        <v>1000</v>
      </c>
      <c r="H28" s="384" t="s">
        <v>61</v>
      </c>
      <c r="I28" s="398">
        <v>6</v>
      </c>
      <c r="J28" s="195">
        <f t="shared" si="5"/>
        <v>18000</v>
      </c>
      <c r="K28" s="360"/>
      <c r="L28" s="414">
        <f t="shared" si="7"/>
        <v>0.0052173913043478265</v>
      </c>
      <c r="M28" s="562">
        <f t="shared" si="6"/>
        <v>15.652173913043478</v>
      </c>
      <c r="N28" s="328"/>
      <c r="O28" s="218"/>
      <c r="P28" s="200" t="s">
        <v>225</v>
      </c>
      <c r="Q28" s="190"/>
      <c r="R28" s="138"/>
    </row>
    <row r="29" spans="1:18" s="327" customFormat="1" ht="13.5" customHeight="1">
      <c r="A29" s="775"/>
      <c r="B29" s="775"/>
      <c r="C29" s="702"/>
      <c r="D29" s="298"/>
      <c r="E29" s="298"/>
      <c r="F29" s="350">
        <v>2</v>
      </c>
      <c r="G29" s="376">
        <f t="shared" si="4"/>
        <v>1000</v>
      </c>
      <c r="H29" s="384" t="s">
        <v>61</v>
      </c>
      <c r="I29" s="398">
        <v>18</v>
      </c>
      <c r="J29" s="195">
        <f t="shared" si="5"/>
        <v>36000</v>
      </c>
      <c r="K29" s="360"/>
      <c r="L29" s="414">
        <f t="shared" si="7"/>
        <v>0.01565217391304348</v>
      </c>
      <c r="M29" s="562">
        <f t="shared" si="6"/>
        <v>31.30434782608696</v>
      </c>
      <c r="N29" s="328"/>
      <c r="O29" s="218"/>
      <c r="P29" s="200"/>
      <c r="Q29" s="190"/>
      <c r="R29" s="190"/>
    </row>
    <row r="30" spans="1:18" s="191" customFormat="1" ht="13.5" customHeight="1">
      <c r="A30" s="775"/>
      <c r="B30" s="775"/>
      <c r="C30" s="702"/>
      <c r="D30" s="298"/>
      <c r="E30" s="193"/>
      <c r="F30" s="350">
        <v>2</v>
      </c>
      <c r="G30" s="376">
        <f t="shared" si="4"/>
        <v>1000</v>
      </c>
      <c r="H30" s="384" t="s">
        <v>61</v>
      </c>
      <c r="I30" s="398">
        <v>2</v>
      </c>
      <c r="J30" s="195">
        <f t="shared" si="5"/>
        <v>4000</v>
      </c>
      <c r="K30" s="360"/>
      <c r="L30" s="414">
        <f t="shared" si="7"/>
        <v>0.0017391304347826088</v>
      </c>
      <c r="M30" s="562">
        <f t="shared" si="6"/>
        <v>3.4782608695652177</v>
      </c>
      <c r="N30" s="328"/>
      <c r="O30" s="218"/>
      <c r="P30" s="200" t="s">
        <v>225</v>
      </c>
      <c r="Q30" s="190"/>
      <c r="R30" s="190"/>
    </row>
    <row r="31" spans="1:18" s="191" customFormat="1" ht="13.5" customHeight="1">
      <c r="A31" s="775"/>
      <c r="B31" s="775"/>
      <c r="C31" s="702"/>
      <c r="D31" s="298"/>
      <c r="E31" s="193"/>
      <c r="F31" s="350">
        <v>1</v>
      </c>
      <c r="G31" s="376">
        <f t="shared" si="4"/>
        <v>1000</v>
      </c>
      <c r="H31" s="384" t="s">
        <v>61</v>
      </c>
      <c r="I31" s="398">
        <v>2</v>
      </c>
      <c r="J31" s="195">
        <f t="shared" si="5"/>
        <v>2000</v>
      </c>
      <c r="K31" s="360"/>
      <c r="L31" s="414">
        <f t="shared" si="7"/>
        <v>0.0017391304347826088</v>
      </c>
      <c r="M31" s="562">
        <f t="shared" si="6"/>
        <v>1.7391304347826089</v>
      </c>
      <c r="N31" s="328"/>
      <c r="O31" s="218"/>
      <c r="P31" s="200" t="s">
        <v>225</v>
      </c>
      <c r="Q31" s="190"/>
      <c r="R31" s="138"/>
    </row>
    <row r="32" spans="1:18" s="191" customFormat="1" ht="13.5" customHeight="1">
      <c r="A32" s="775"/>
      <c r="B32" s="775"/>
      <c r="C32" s="702"/>
      <c r="D32" s="298"/>
      <c r="E32" s="193"/>
      <c r="F32" s="350">
        <v>2</v>
      </c>
      <c r="G32" s="376">
        <f t="shared" si="4"/>
        <v>1000</v>
      </c>
      <c r="H32" s="377" t="s">
        <v>61</v>
      </c>
      <c r="I32" s="398">
        <v>4</v>
      </c>
      <c r="J32" s="195">
        <f t="shared" si="5"/>
        <v>8000</v>
      </c>
      <c r="K32" s="360"/>
      <c r="L32" s="414">
        <f t="shared" si="7"/>
        <v>0.0034782608695652175</v>
      </c>
      <c r="M32" s="562">
        <f t="shared" si="6"/>
        <v>6.9565217391304355</v>
      </c>
      <c r="N32" s="328"/>
      <c r="O32" s="218"/>
      <c r="P32" s="200" t="s">
        <v>225</v>
      </c>
      <c r="Q32" s="190"/>
      <c r="R32" s="138"/>
    </row>
    <row r="33" spans="1:18" s="191" customFormat="1" ht="13.5" customHeight="1">
      <c r="A33" s="775"/>
      <c r="B33" s="775"/>
      <c r="C33" s="702"/>
      <c r="D33" s="193"/>
      <c r="E33" s="193"/>
      <c r="F33" s="350">
        <v>1</v>
      </c>
      <c r="G33" s="376">
        <f t="shared" si="4"/>
        <v>1000</v>
      </c>
      <c r="H33" s="377" t="s">
        <v>61</v>
      </c>
      <c r="I33" s="398">
        <v>21</v>
      </c>
      <c r="J33" s="195">
        <f t="shared" si="5"/>
        <v>21000</v>
      </c>
      <c r="K33" s="360"/>
      <c r="L33" s="414">
        <f t="shared" si="7"/>
        <v>0.018260869565217393</v>
      </c>
      <c r="M33" s="562">
        <f t="shared" si="6"/>
        <v>18.260869565217394</v>
      </c>
      <c r="N33" s="328"/>
      <c r="O33" s="218"/>
      <c r="P33" s="200" t="s">
        <v>225</v>
      </c>
      <c r="Q33" s="190"/>
      <c r="R33" s="138"/>
    </row>
    <row r="34" spans="1:18" s="120" customFormat="1" ht="13.5" customHeight="1">
      <c r="A34" s="775"/>
      <c r="B34" s="775"/>
      <c r="C34" s="702"/>
      <c r="D34" s="193"/>
      <c r="E34" s="193"/>
      <c r="F34" s="350">
        <v>5</v>
      </c>
      <c r="G34" s="376">
        <f t="shared" si="4"/>
        <v>1000</v>
      </c>
      <c r="H34" s="385" t="s">
        <v>61</v>
      </c>
      <c r="I34" s="398">
        <v>21</v>
      </c>
      <c r="J34" s="195">
        <f t="shared" si="5"/>
        <v>105000</v>
      </c>
      <c r="K34" s="360"/>
      <c r="L34" s="414">
        <f t="shared" si="7"/>
        <v>0.018260869565217393</v>
      </c>
      <c r="M34" s="562">
        <f t="shared" si="6"/>
        <v>91.30434782608697</v>
      </c>
      <c r="N34" s="328"/>
      <c r="O34" s="218"/>
      <c r="P34" s="200" t="s">
        <v>225</v>
      </c>
      <c r="Q34" s="190"/>
      <c r="R34" s="138"/>
    </row>
    <row r="35" spans="1:18" s="120" customFormat="1" ht="13.5" customHeight="1">
      <c r="A35" s="775"/>
      <c r="B35" s="775"/>
      <c r="C35" s="702"/>
      <c r="D35" s="196"/>
      <c r="E35" s="189"/>
      <c r="F35" s="350">
        <v>1</v>
      </c>
      <c r="G35" s="376">
        <f t="shared" si="4"/>
        <v>1000</v>
      </c>
      <c r="H35" s="384" t="s">
        <v>61</v>
      </c>
      <c r="I35" s="397">
        <v>450</v>
      </c>
      <c r="J35" s="195">
        <f t="shared" si="5"/>
        <v>450000</v>
      </c>
      <c r="K35" s="360"/>
      <c r="L35" s="414">
        <f t="shared" si="7"/>
        <v>0.391304347826087</v>
      </c>
      <c r="M35" s="562">
        <f t="shared" si="6"/>
        <v>391.304347826087</v>
      </c>
      <c r="N35" s="328"/>
      <c r="O35" s="218"/>
      <c r="P35" s="200" t="s">
        <v>225</v>
      </c>
      <c r="Q35" s="190"/>
      <c r="R35" s="138"/>
    </row>
    <row r="36" spans="1:18" s="120" customFormat="1" ht="13.5" customHeight="1">
      <c r="A36" s="775"/>
      <c r="B36" s="775"/>
      <c r="C36" s="702"/>
      <c r="D36" s="196"/>
      <c r="E36" s="189"/>
      <c r="F36" s="350">
        <v>1</v>
      </c>
      <c r="G36" s="376">
        <f t="shared" si="4"/>
        <v>1000</v>
      </c>
      <c r="H36" s="377" t="s">
        <v>61</v>
      </c>
      <c r="I36" s="397">
        <v>300</v>
      </c>
      <c r="J36" s="195">
        <f t="shared" si="5"/>
        <v>300000</v>
      </c>
      <c r="K36" s="360"/>
      <c r="L36" s="414">
        <f t="shared" si="7"/>
        <v>0.2608695652173913</v>
      </c>
      <c r="M36" s="562">
        <f t="shared" si="6"/>
        <v>260.8695652173913</v>
      </c>
      <c r="N36" s="328"/>
      <c r="O36" s="218"/>
      <c r="P36" s="200" t="s">
        <v>225</v>
      </c>
      <c r="Q36" s="190"/>
      <c r="R36" s="138"/>
    </row>
    <row r="37" spans="1:18" s="327" customFormat="1" ht="13.5" customHeight="1">
      <c r="A37" s="775"/>
      <c r="B37" s="775"/>
      <c r="C37" s="702"/>
      <c r="D37" s="386"/>
      <c r="E37" s="349"/>
      <c r="F37" s="350">
        <v>1</v>
      </c>
      <c r="G37" s="376">
        <f t="shared" si="4"/>
        <v>1000</v>
      </c>
      <c r="H37" s="377" t="s">
        <v>61</v>
      </c>
      <c r="I37" s="390">
        <v>400</v>
      </c>
      <c r="J37" s="195">
        <f t="shared" si="5"/>
        <v>400000</v>
      </c>
      <c r="K37" s="387"/>
      <c r="L37" s="414">
        <f t="shared" si="7"/>
        <v>0.34782608695652173</v>
      </c>
      <c r="M37" s="562">
        <f t="shared" si="6"/>
        <v>347.82608695652175</v>
      </c>
      <c r="N37" s="331"/>
      <c r="O37" s="388"/>
      <c r="P37" s="389"/>
      <c r="Q37" s="151"/>
      <c r="R37" s="151"/>
    </row>
    <row r="38" spans="1:18" s="327" customFormat="1" ht="13.5" customHeight="1">
      <c r="A38" s="775"/>
      <c r="B38" s="775"/>
      <c r="C38" s="702"/>
      <c r="D38" s="386"/>
      <c r="E38" s="349"/>
      <c r="F38" s="350">
        <v>2</v>
      </c>
      <c r="G38" s="376">
        <f t="shared" si="4"/>
        <v>1000</v>
      </c>
      <c r="H38" s="377" t="s">
        <v>61</v>
      </c>
      <c r="I38" s="390">
        <v>45</v>
      </c>
      <c r="J38" s="195">
        <f t="shared" si="5"/>
        <v>90000</v>
      </c>
      <c r="K38" s="387"/>
      <c r="L38" s="414">
        <f t="shared" si="7"/>
        <v>0.0391304347826087</v>
      </c>
      <c r="M38" s="562">
        <f t="shared" si="6"/>
        <v>78.26086956521739</v>
      </c>
      <c r="N38" s="331"/>
      <c r="O38" s="388"/>
      <c r="P38" s="389"/>
      <c r="Q38" s="151"/>
      <c r="R38" s="151"/>
    </row>
    <row r="39" spans="1:18" s="327" customFormat="1" ht="13.5" customHeight="1">
      <c r="A39" s="775"/>
      <c r="B39" s="775"/>
      <c r="C39" s="702"/>
      <c r="D39" s="386"/>
      <c r="E39" s="349"/>
      <c r="F39" s="350">
        <v>1</v>
      </c>
      <c r="G39" s="376">
        <f t="shared" si="4"/>
        <v>1000</v>
      </c>
      <c r="H39" s="377" t="s">
        <v>61</v>
      </c>
      <c r="I39" s="390">
        <v>45</v>
      </c>
      <c r="J39" s="195">
        <f t="shared" si="5"/>
        <v>45000</v>
      </c>
      <c r="K39" s="387"/>
      <c r="L39" s="414">
        <f t="shared" si="7"/>
        <v>0.0391304347826087</v>
      </c>
      <c r="M39" s="562">
        <f t="shared" si="6"/>
        <v>39.130434782608695</v>
      </c>
      <c r="N39" s="331"/>
      <c r="O39" s="388"/>
      <c r="P39" s="389"/>
      <c r="Q39" s="151"/>
      <c r="R39" s="151"/>
    </row>
    <row r="40" spans="1:18" s="327" customFormat="1" ht="13.5" customHeight="1">
      <c r="A40" s="775"/>
      <c r="B40" s="775"/>
      <c r="C40" s="702"/>
      <c r="D40" s="386"/>
      <c r="E40" s="349"/>
      <c r="F40" s="201">
        <v>1</v>
      </c>
      <c r="G40" s="376">
        <f t="shared" si="4"/>
        <v>1000</v>
      </c>
      <c r="H40" s="377" t="s">
        <v>61</v>
      </c>
      <c r="I40" s="390">
        <v>5</v>
      </c>
      <c r="J40" s="195">
        <f t="shared" si="5"/>
        <v>5000</v>
      </c>
      <c r="K40" s="387"/>
      <c r="L40" s="414">
        <f t="shared" si="7"/>
        <v>0.004347826086956522</v>
      </c>
      <c r="M40" s="562">
        <f t="shared" si="6"/>
        <v>4.3478260869565215</v>
      </c>
      <c r="N40" s="331"/>
      <c r="O40" s="388"/>
      <c r="P40" s="389"/>
      <c r="Q40" s="151"/>
      <c r="R40" s="151"/>
    </row>
    <row r="41" spans="1:18" s="327" customFormat="1" ht="13.5" customHeight="1">
      <c r="A41" s="775"/>
      <c r="B41" s="775"/>
      <c r="C41" s="702"/>
      <c r="D41" s="386"/>
      <c r="E41" s="349"/>
      <c r="F41" s="350">
        <v>1</v>
      </c>
      <c r="G41" s="376">
        <f t="shared" si="4"/>
        <v>1000</v>
      </c>
      <c r="H41" s="377" t="s">
        <v>61</v>
      </c>
      <c r="I41" s="390">
        <v>90</v>
      </c>
      <c r="J41" s="195">
        <f t="shared" si="5"/>
        <v>90000</v>
      </c>
      <c r="K41" s="387"/>
      <c r="L41" s="414">
        <f t="shared" si="7"/>
        <v>0.0782608695652174</v>
      </c>
      <c r="M41" s="562">
        <f t="shared" si="6"/>
        <v>78.26086956521739</v>
      </c>
      <c r="N41" s="331"/>
      <c r="O41" s="388"/>
      <c r="P41" s="389"/>
      <c r="Q41" s="151"/>
      <c r="R41" s="151"/>
    </row>
    <row r="42" spans="1:18" s="327" customFormat="1" ht="13.5" customHeight="1">
      <c r="A42" s="775"/>
      <c r="B42" s="775"/>
      <c r="C42" s="702"/>
      <c r="D42" s="386"/>
      <c r="E42" s="349"/>
      <c r="F42" s="350">
        <v>1</v>
      </c>
      <c r="G42" s="376">
        <f t="shared" si="4"/>
        <v>1000</v>
      </c>
      <c r="H42" s="377" t="s">
        <v>61</v>
      </c>
      <c r="I42" s="390">
        <v>145</v>
      </c>
      <c r="J42" s="195">
        <f t="shared" si="5"/>
        <v>145000</v>
      </c>
      <c r="K42" s="387"/>
      <c r="L42" s="414">
        <f t="shared" si="7"/>
        <v>0.12608695652173912</v>
      </c>
      <c r="M42" s="562">
        <f t="shared" si="6"/>
        <v>126.08695652173913</v>
      </c>
      <c r="N42" s="331"/>
      <c r="O42" s="388"/>
      <c r="P42" s="389"/>
      <c r="Q42" s="151"/>
      <c r="R42" s="151"/>
    </row>
    <row r="43" spans="1:18" s="327" customFormat="1" ht="13.5" customHeight="1">
      <c r="A43" s="775"/>
      <c r="B43" s="775"/>
      <c r="C43" s="702"/>
      <c r="D43" s="386"/>
      <c r="E43" s="349"/>
      <c r="F43" s="350">
        <v>5</v>
      </c>
      <c r="G43" s="376">
        <f t="shared" si="4"/>
        <v>1000</v>
      </c>
      <c r="H43" s="377" t="s">
        <v>61</v>
      </c>
      <c r="I43" s="390">
        <v>22</v>
      </c>
      <c r="J43" s="195">
        <f t="shared" si="5"/>
        <v>110000</v>
      </c>
      <c r="K43" s="387"/>
      <c r="L43" s="414">
        <f t="shared" si="7"/>
        <v>0.019130434782608695</v>
      </c>
      <c r="M43" s="562">
        <f t="shared" si="6"/>
        <v>95.65217391304347</v>
      </c>
      <c r="N43" s="331"/>
      <c r="O43" s="388"/>
      <c r="P43" s="389"/>
      <c r="Q43" s="151"/>
      <c r="R43" s="151"/>
    </row>
    <row r="44" spans="1:18" s="327" customFormat="1" ht="13.5" customHeight="1">
      <c r="A44" s="775"/>
      <c r="B44" s="775"/>
      <c r="C44" s="702"/>
      <c r="D44" s="386"/>
      <c r="E44" s="415"/>
      <c r="F44" s="350">
        <v>1</v>
      </c>
      <c r="G44" s="376">
        <f t="shared" si="4"/>
        <v>1000</v>
      </c>
      <c r="H44" s="377" t="s">
        <v>61</v>
      </c>
      <c r="I44" s="390">
        <v>0.6</v>
      </c>
      <c r="J44" s="195">
        <f t="shared" si="5"/>
        <v>600</v>
      </c>
      <c r="K44" s="387"/>
      <c r="L44" s="414">
        <f t="shared" si="7"/>
        <v>0.0005217391304347826</v>
      </c>
      <c r="M44" s="562">
        <f t="shared" si="6"/>
        <v>0.5217391304347826</v>
      </c>
      <c r="N44" s="331"/>
      <c r="O44" s="388"/>
      <c r="P44" s="389"/>
      <c r="Q44" s="151"/>
      <c r="R44" s="151"/>
    </row>
    <row r="45" spans="1:18" s="327" customFormat="1" ht="13.5" customHeight="1">
      <c r="A45" s="775"/>
      <c r="B45" s="775"/>
      <c r="C45" s="702"/>
      <c r="D45" s="386"/>
      <c r="E45" s="349"/>
      <c r="F45" s="350">
        <v>12</v>
      </c>
      <c r="G45" s="376">
        <f t="shared" si="4"/>
        <v>1000</v>
      </c>
      <c r="H45" s="377" t="s">
        <v>61</v>
      </c>
      <c r="I45" s="390">
        <v>0.5</v>
      </c>
      <c r="J45" s="195">
        <f t="shared" si="5"/>
        <v>6000</v>
      </c>
      <c r="K45" s="387"/>
      <c r="L45" s="414">
        <f t="shared" si="7"/>
        <v>0.0004347826086956522</v>
      </c>
      <c r="M45" s="562">
        <f t="shared" si="6"/>
        <v>5.217391304347826</v>
      </c>
      <c r="N45" s="331"/>
      <c r="O45" s="388"/>
      <c r="P45" s="389"/>
      <c r="Q45" s="151"/>
      <c r="R45" s="151"/>
    </row>
    <row r="46" spans="1:18" s="327" customFormat="1" ht="13.5" customHeight="1">
      <c r="A46" s="775"/>
      <c r="B46" s="775"/>
      <c r="C46" s="702"/>
      <c r="D46" s="386"/>
      <c r="E46" s="349"/>
      <c r="F46" s="350">
        <v>2</v>
      </c>
      <c r="G46" s="376">
        <f t="shared" si="4"/>
        <v>1000</v>
      </c>
      <c r="H46" s="377" t="s">
        <v>61</v>
      </c>
      <c r="I46" s="390">
        <v>0.5</v>
      </c>
      <c r="J46" s="195">
        <f t="shared" si="5"/>
        <v>1000</v>
      </c>
      <c r="K46" s="387"/>
      <c r="L46" s="414">
        <f t="shared" si="7"/>
        <v>0.0004347826086956522</v>
      </c>
      <c r="M46" s="562">
        <f t="shared" si="6"/>
        <v>0.8695652173913044</v>
      </c>
      <c r="N46" s="331"/>
      <c r="O46" s="388"/>
      <c r="P46" s="389"/>
      <c r="Q46" s="151"/>
      <c r="R46" s="151"/>
    </row>
    <row r="47" spans="1:18" s="327" customFormat="1" ht="13.5" customHeight="1">
      <c r="A47" s="775"/>
      <c r="B47" s="775"/>
      <c r="C47" s="702"/>
      <c r="D47" s="386"/>
      <c r="E47" s="415"/>
      <c r="F47" s="350">
        <v>6</v>
      </c>
      <c r="G47" s="376">
        <f t="shared" si="4"/>
        <v>1000</v>
      </c>
      <c r="H47" s="377" t="s">
        <v>61</v>
      </c>
      <c r="I47" s="390">
        <v>0.5</v>
      </c>
      <c r="J47" s="195">
        <f t="shared" si="5"/>
        <v>3000</v>
      </c>
      <c r="K47" s="387"/>
      <c r="L47" s="414">
        <f t="shared" si="7"/>
        <v>0.0004347826086956522</v>
      </c>
      <c r="M47" s="562">
        <f t="shared" si="6"/>
        <v>2.608695652173913</v>
      </c>
      <c r="N47" s="331"/>
      <c r="O47" s="388"/>
      <c r="P47" s="389"/>
      <c r="Q47" s="151"/>
      <c r="R47" s="151"/>
    </row>
    <row r="48" spans="1:18" s="327" customFormat="1" ht="13.5" customHeight="1">
      <c r="A48" s="775"/>
      <c r="B48" s="775"/>
      <c r="C48" s="702"/>
      <c r="D48" s="386"/>
      <c r="E48" s="349"/>
      <c r="F48" s="350">
        <v>1</v>
      </c>
      <c r="G48" s="425">
        <f t="shared" si="4"/>
        <v>1000</v>
      </c>
      <c r="H48" s="377" t="s">
        <v>61</v>
      </c>
      <c r="I48" s="390">
        <v>0.5</v>
      </c>
      <c r="J48" s="195">
        <f t="shared" si="5"/>
        <v>500</v>
      </c>
      <c r="K48" s="387"/>
      <c r="L48" s="414">
        <f t="shared" si="7"/>
        <v>0.0004347826086956522</v>
      </c>
      <c r="M48" s="562">
        <f t="shared" si="6"/>
        <v>0.4347826086956522</v>
      </c>
      <c r="N48" s="331"/>
      <c r="O48" s="388"/>
      <c r="P48" s="389"/>
      <c r="Q48" s="151"/>
      <c r="R48" s="151"/>
    </row>
    <row r="49" spans="1:18" s="327" customFormat="1" ht="13.5" customHeight="1">
      <c r="A49" s="775"/>
      <c r="B49" s="775"/>
      <c r="C49" s="702"/>
      <c r="D49" s="386"/>
      <c r="E49" s="349"/>
      <c r="F49" s="350">
        <v>6</v>
      </c>
      <c r="G49" s="425">
        <f t="shared" si="4"/>
        <v>1000</v>
      </c>
      <c r="H49" s="377" t="s">
        <v>61</v>
      </c>
      <c r="I49" s="390">
        <v>0.6</v>
      </c>
      <c r="J49" s="195">
        <f t="shared" si="5"/>
        <v>3600</v>
      </c>
      <c r="K49" s="387"/>
      <c r="L49" s="414">
        <f t="shared" si="7"/>
        <v>0.0005217391304347826</v>
      </c>
      <c r="M49" s="562">
        <f t="shared" si="6"/>
        <v>3.1304347826086953</v>
      </c>
      <c r="N49" s="331"/>
      <c r="O49" s="388"/>
      <c r="P49" s="389"/>
      <c r="Q49" s="151"/>
      <c r="R49" s="151"/>
    </row>
    <row r="50" spans="1:18" s="586" customFormat="1" ht="13.5" customHeight="1">
      <c r="A50" s="775"/>
      <c r="B50" s="775"/>
      <c r="C50" s="702"/>
      <c r="D50" s="386"/>
      <c r="E50" s="349"/>
      <c r="F50" s="350">
        <v>1</v>
      </c>
      <c r="G50" s="425">
        <f>E1</f>
        <v>1000</v>
      </c>
      <c r="H50" s="377" t="s">
        <v>221</v>
      </c>
      <c r="I50" s="390">
        <v>0.5</v>
      </c>
      <c r="J50" s="195">
        <f t="shared" si="5"/>
        <v>500</v>
      </c>
      <c r="K50" s="387"/>
      <c r="L50" s="414">
        <f t="shared" si="7"/>
        <v>0.0004347826086956522</v>
      </c>
      <c r="M50" s="562">
        <f t="shared" si="6"/>
        <v>0.4347826086956522</v>
      </c>
      <c r="N50" s="331"/>
      <c r="O50" s="388"/>
      <c r="P50" s="389"/>
      <c r="Q50" s="151"/>
      <c r="R50" s="151"/>
    </row>
    <row r="51" spans="1:18" s="327" customFormat="1" ht="13.5" customHeight="1">
      <c r="A51" s="775"/>
      <c r="B51" s="775"/>
      <c r="C51" s="702"/>
      <c r="D51" s="386"/>
      <c r="E51" s="349"/>
      <c r="F51" s="350">
        <v>6</v>
      </c>
      <c r="G51" s="376">
        <f t="shared" si="4"/>
        <v>1000</v>
      </c>
      <c r="H51" s="377" t="s">
        <v>61</v>
      </c>
      <c r="I51" s="390">
        <v>0.6</v>
      </c>
      <c r="J51" s="195">
        <f t="shared" si="5"/>
        <v>3600</v>
      </c>
      <c r="K51" s="387"/>
      <c r="L51" s="414">
        <f t="shared" si="7"/>
        <v>0.0005217391304347826</v>
      </c>
      <c r="M51" s="562">
        <f t="shared" si="6"/>
        <v>3.1304347826086953</v>
      </c>
      <c r="N51" s="331"/>
      <c r="O51" s="388"/>
      <c r="P51" s="389"/>
      <c r="Q51" s="151"/>
      <c r="R51" s="151"/>
    </row>
    <row r="52" spans="1:18" s="327" customFormat="1" ht="13.5" customHeight="1">
      <c r="A52" s="775"/>
      <c r="B52" s="775"/>
      <c r="C52" s="702"/>
      <c r="D52" s="386"/>
      <c r="E52" s="349"/>
      <c r="F52" s="201">
        <v>1</v>
      </c>
      <c r="G52" s="376">
        <f t="shared" si="4"/>
        <v>1000</v>
      </c>
      <c r="H52" s="377" t="s">
        <v>61</v>
      </c>
      <c r="I52" s="390">
        <v>440</v>
      </c>
      <c r="J52" s="195">
        <f t="shared" si="5"/>
        <v>440000</v>
      </c>
      <c r="K52" s="387"/>
      <c r="L52" s="414">
        <f t="shared" si="7"/>
        <v>0.3826086956521739</v>
      </c>
      <c r="M52" s="562">
        <f t="shared" si="6"/>
        <v>382.60869565217394</v>
      </c>
      <c r="N52" s="331"/>
      <c r="O52" s="388"/>
      <c r="P52" s="389"/>
      <c r="Q52" s="151"/>
      <c r="R52" s="151"/>
    </row>
    <row r="53" spans="1:18" s="327" customFormat="1" ht="13.5" customHeight="1">
      <c r="A53" s="775"/>
      <c r="B53" s="775"/>
      <c r="C53" s="702"/>
      <c r="D53" s="386"/>
      <c r="E53" s="349"/>
      <c r="F53" s="350">
        <v>1</v>
      </c>
      <c r="G53" s="376">
        <f t="shared" si="4"/>
        <v>1000</v>
      </c>
      <c r="H53" s="377" t="s">
        <v>61</v>
      </c>
      <c r="I53" s="390">
        <v>6800</v>
      </c>
      <c r="J53" s="195">
        <f t="shared" si="5"/>
        <v>6800000</v>
      </c>
      <c r="K53" s="387"/>
      <c r="L53" s="414">
        <f t="shared" si="7"/>
        <v>5.913043478260869</v>
      </c>
      <c r="M53" s="562">
        <f t="shared" si="6"/>
        <v>5913.043478260869</v>
      </c>
      <c r="N53" s="331"/>
      <c r="O53" s="388"/>
      <c r="P53" s="389"/>
      <c r="Q53" s="151"/>
      <c r="R53" s="151"/>
    </row>
    <row r="54" spans="1:18" s="327" customFormat="1" ht="13.5" customHeight="1">
      <c r="A54" s="775"/>
      <c r="B54" s="775"/>
      <c r="C54" s="702"/>
      <c r="D54" s="386"/>
      <c r="E54" s="349"/>
      <c r="F54" s="350">
        <v>1</v>
      </c>
      <c r="G54" s="376">
        <f t="shared" si="4"/>
        <v>1000</v>
      </c>
      <c r="H54" s="377" t="s">
        <v>61</v>
      </c>
      <c r="I54" s="390">
        <v>740</v>
      </c>
      <c r="J54" s="195">
        <f t="shared" si="5"/>
        <v>740000</v>
      </c>
      <c r="K54" s="387"/>
      <c r="L54" s="414">
        <f t="shared" si="7"/>
        <v>0.6434782608695652</v>
      </c>
      <c r="M54" s="562">
        <f t="shared" si="6"/>
        <v>643.4782608695651</v>
      </c>
      <c r="N54" s="331"/>
      <c r="O54" s="388"/>
      <c r="P54" s="389"/>
      <c r="Q54" s="151"/>
      <c r="R54" s="151"/>
    </row>
    <row r="55" spans="1:18" s="327" customFormat="1" ht="13.5" customHeight="1">
      <c r="A55" s="775"/>
      <c r="B55" s="775"/>
      <c r="C55" s="702"/>
      <c r="D55" s="386"/>
      <c r="E55" s="349"/>
      <c r="F55" s="350">
        <v>3</v>
      </c>
      <c r="G55" s="376">
        <f t="shared" si="4"/>
        <v>1000</v>
      </c>
      <c r="H55" s="377" t="s">
        <v>61</v>
      </c>
      <c r="I55" s="390">
        <v>330</v>
      </c>
      <c r="J55" s="195">
        <f t="shared" si="5"/>
        <v>990000</v>
      </c>
      <c r="K55" s="387"/>
      <c r="L55" s="414">
        <f t="shared" si="7"/>
        <v>0.28695652173913044</v>
      </c>
      <c r="M55" s="562">
        <f t="shared" si="6"/>
        <v>860.8695652173913</v>
      </c>
      <c r="N55" s="331"/>
      <c r="O55" s="388"/>
      <c r="P55" s="389"/>
      <c r="Q55" s="151"/>
      <c r="R55" s="151"/>
    </row>
    <row r="56" spans="1:18" s="327" customFormat="1" ht="13.5" customHeight="1">
      <c r="A56" s="775"/>
      <c r="B56" s="775"/>
      <c r="C56" s="702"/>
      <c r="D56" s="386"/>
      <c r="E56" s="349"/>
      <c r="F56" s="350">
        <v>1</v>
      </c>
      <c r="G56" s="376">
        <f t="shared" si="4"/>
        <v>1000</v>
      </c>
      <c r="H56" s="377" t="s">
        <v>61</v>
      </c>
      <c r="I56" s="390">
        <v>330</v>
      </c>
      <c r="J56" s="195">
        <f t="shared" si="5"/>
        <v>330000</v>
      </c>
      <c r="K56" s="387"/>
      <c r="L56" s="414">
        <f t="shared" si="7"/>
        <v>0.28695652173913044</v>
      </c>
      <c r="M56" s="562">
        <f t="shared" si="6"/>
        <v>286.95652173913044</v>
      </c>
      <c r="N56" s="331"/>
      <c r="O56" s="388"/>
      <c r="P56" s="389"/>
      <c r="Q56" s="151"/>
      <c r="R56" s="151"/>
    </row>
    <row r="57" spans="1:18" s="327" customFormat="1" ht="13.5" customHeight="1">
      <c r="A57" s="775"/>
      <c r="B57" s="775"/>
      <c r="C57" s="702"/>
      <c r="D57" s="386"/>
      <c r="E57" s="349"/>
      <c r="F57" s="350">
        <v>1</v>
      </c>
      <c r="G57" s="376">
        <f t="shared" si="4"/>
        <v>1000</v>
      </c>
      <c r="H57" s="377" t="s">
        <v>61</v>
      </c>
      <c r="I57" s="390">
        <v>330</v>
      </c>
      <c r="J57" s="195">
        <f t="shared" si="5"/>
        <v>330000</v>
      </c>
      <c r="K57" s="387"/>
      <c r="L57" s="414">
        <f t="shared" si="7"/>
        <v>0.28695652173913044</v>
      </c>
      <c r="M57" s="562">
        <f t="shared" si="6"/>
        <v>286.95652173913044</v>
      </c>
      <c r="N57" s="331"/>
      <c r="O57" s="388"/>
      <c r="P57" s="389"/>
      <c r="Q57" s="151"/>
      <c r="R57" s="151"/>
    </row>
    <row r="58" spans="1:18" s="327" customFormat="1" ht="13.5" customHeight="1">
      <c r="A58" s="775"/>
      <c r="B58" s="775"/>
      <c r="C58" s="702"/>
      <c r="D58" s="386"/>
      <c r="E58" s="349"/>
      <c r="F58" s="201">
        <v>1</v>
      </c>
      <c r="G58" s="376">
        <f t="shared" si="4"/>
        <v>1000</v>
      </c>
      <c r="H58" s="377" t="s">
        <v>61</v>
      </c>
      <c r="I58" s="390">
        <v>160</v>
      </c>
      <c r="J58" s="195">
        <f t="shared" si="5"/>
        <v>160000</v>
      </c>
      <c r="K58" s="387"/>
      <c r="L58" s="414">
        <f t="shared" si="7"/>
        <v>0.1391304347826087</v>
      </c>
      <c r="M58" s="562">
        <f t="shared" si="6"/>
        <v>139.1304347826087</v>
      </c>
      <c r="N58" s="331"/>
      <c r="O58" s="388"/>
      <c r="P58" s="389"/>
      <c r="Q58" s="151"/>
      <c r="R58" s="151"/>
    </row>
    <row r="59" spans="1:18" s="327" customFormat="1" ht="13.5" customHeight="1">
      <c r="A59" s="775"/>
      <c r="B59" s="775"/>
      <c r="C59" s="702"/>
      <c r="D59" s="386"/>
      <c r="E59" s="349"/>
      <c r="F59" s="350">
        <v>1</v>
      </c>
      <c r="G59" s="376">
        <f t="shared" si="4"/>
        <v>1000</v>
      </c>
      <c r="H59" s="377" t="s">
        <v>61</v>
      </c>
      <c r="I59" s="390">
        <v>180</v>
      </c>
      <c r="J59" s="195">
        <f t="shared" si="5"/>
        <v>180000</v>
      </c>
      <c r="K59" s="387"/>
      <c r="L59" s="414">
        <f t="shared" si="7"/>
        <v>0.1565217391304348</v>
      </c>
      <c r="M59" s="562">
        <f t="shared" si="6"/>
        <v>156.52173913043478</v>
      </c>
      <c r="N59" s="331"/>
      <c r="O59" s="388"/>
      <c r="P59" s="389"/>
      <c r="Q59" s="151"/>
      <c r="R59" s="151"/>
    </row>
    <row r="60" spans="1:18" s="327" customFormat="1" ht="13.5" customHeight="1">
      <c r="A60" s="775"/>
      <c r="B60" s="775"/>
      <c r="C60" s="702"/>
      <c r="D60" s="386"/>
      <c r="E60" s="349"/>
      <c r="F60" s="350">
        <v>1</v>
      </c>
      <c r="G60" s="376">
        <f t="shared" si="4"/>
        <v>1000</v>
      </c>
      <c r="H60" s="377" t="s">
        <v>61</v>
      </c>
      <c r="I60" s="390">
        <v>150</v>
      </c>
      <c r="J60" s="195">
        <f t="shared" si="5"/>
        <v>150000</v>
      </c>
      <c r="K60" s="387"/>
      <c r="L60" s="414">
        <f t="shared" si="7"/>
        <v>0.13043478260869565</v>
      </c>
      <c r="M60" s="562">
        <f t="shared" si="6"/>
        <v>130.43478260869566</v>
      </c>
      <c r="N60" s="331"/>
      <c r="O60" s="388"/>
      <c r="P60" s="389"/>
      <c r="Q60" s="151"/>
      <c r="R60" s="151"/>
    </row>
    <row r="61" spans="1:18" s="327" customFormat="1" ht="13.5" customHeight="1">
      <c r="A61" s="775"/>
      <c r="B61" s="775"/>
      <c r="C61" s="702"/>
      <c r="D61" s="386"/>
      <c r="E61" s="349"/>
      <c r="F61" s="350"/>
      <c r="G61" s="376"/>
      <c r="H61" s="377"/>
      <c r="I61" s="390"/>
      <c r="J61" s="195"/>
      <c r="K61" s="387"/>
      <c r="L61" s="414"/>
      <c r="M61" s="562"/>
      <c r="N61" s="331"/>
      <c r="O61" s="388"/>
      <c r="P61" s="389"/>
      <c r="Q61" s="151"/>
      <c r="R61" s="151"/>
    </row>
    <row r="62" spans="1:18" s="120" customFormat="1" ht="13.5" customHeight="1">
      <c r="A62" s="775"/>
      <c r="B62" s="775"/>
      <c r="C62" s="702"/>
      <c r="D62" s="168"/>
      <c r="E62" s="168"/>
      <c r="F62" s="350"/>
      <c r="G62" s="425"/>
      <c r="H62" s="111"/>
      <c r="I62" s="399"/>
      <c r="J62" s="368"/>
      <c r="K62" s="380"/>
      <c r="L62" s="369"/>
      <c r="M62" s="563"/>
      <c r="N62" s="330"/>
      <c r="O62" s="224"/>
      <c r="P62" s="222"/>
      <c r="Q62" s="212"/>
      <c r="R62" s="139"/>
    </row>
    <row r="63" spans="1:18" s="120" customFormat="1" ht="13.5" customHeight="1">
      <c r="A63" s="775"/>
      <c r="B63" s="775"/>
      <c r="C63" s="809" t="s">
        <v>228</v>
      </c>
      <c r="D63" s="810"/>
      <c r="E63" s="810"/>
      <c r="F63" s="810"/>
      <c r="G63" s="810"/>
      <c r="H63" s="811"/>
      <c r="I63" s="762">
        <f>SUM(J20:J62)</f>
        <v>21646300</v>
      </c>
      <c r="J63" s="763"/>
      <c r="K63" s="226"/>
      <c r="L63" s="758">
        <f>I63/O1</f>
        <v>18822.869565217392</v>
      </c>
      <c r="M63" s="759"/>
      <c r="N63" s="134"/>
      <c r="O63" s="716"/>
      <c r="P63" s="717"/>
      <c r="Q63" s="134"/>
      <c r="R63" s="167"/>
    </row>
    <row r="64" spans="1:18" s="120" customFormat="1" ht="1.5" customHeight="1">
      <c r="A64" s="775"/>
      <c r="B64" s="775"/>
      <c r="G64" s="338"/>
      <c r="I64" s="400"/>
      <c r="K64" s="768"/>
      <c r="L64" s="768"/>
      <c r="M64" s="768"/>
      <c r="N64" s="768"/>
      <c r="O64" s="768"/>
      <c r="P64" s="768"/>
      <c r="Q64" s="768"/>
      <c r="R64" s="134"/>
    </row>
    <row r="65" spans="1:19" s="106" customFormat="1" ht="13.5" customHeight="1">
      <c r="A65" s="862"/>
      <c r="B65" s="775"/>
      <c r="C65" s="800" t="s">
        <v>242</v>
      </c>
      <c r="D65" s="121" t="s">
        <v>243</v>
      </c>
      <c r="E65" s="121"/>
      <c r="F65" s="448">
        <v>1</v>
      </c>
      <c r="G65" s="342">
        <f>$E$1</f>
        <v>1000</v>
      </c>
      <c r="H65" s="331" t="s">
        <v>61</v>
      </c>
      <c r="I65" s="402">
        <v>610</v>
      </c>
      <c r="J65" s="211">
        <f>G65*I65</f>
        <v>610000</v>
      </c>
      <c r="K65" s="212"/>
      <c r="L65" s="237">
        <f>I65/$O$1</f>
        <v>0.5304347826086957</v>
      </c>
      <c r="M65" s="564">
        <f>L65*G65</f>
        <v>530.4347826086957</v>
      </c>
      <c r="N65" s="121"/>
      <c r="O65" s="145"/>
      <c r="P65" s="146" t="s">
        <v>225</v>
      </c>
      <c r="Q65" s="124"/>
      <c r="R65" s="124"/>
      <c r="S65" s="79"/>
    </row>
    <row r="66" spans="1:19" s="79" customFormat="1" ht="13.5" customHeight="1">
      <c r="A66" s="862"/>
      <c r="B66" s="775"/>
      <c r="C66" s="801"/>
      <c r="D66" s="168"/>
      <c r="E66" s="168"/>
      <c r="M66" s="565"/>
      <c r="N66" s="212"/>
      <c r="O66" s="224"/>
      <c r="P66" s="222" t="s">
        <v>225</v>
      </c>
      <c r="Q66" s="138"/>
      <c r="R66" s="138"/>
      <c r="S66" s="37"/>
    </row>
    <row r="67" spans="1:19" s="271" customFormat="1" ht="13.5" customHeight="1">
      <c r="A67" s="862"/>
      <c r="B67" s="775"/>
      <c r="C67" s="809" t="s">
        <v>228</v>
      </c>
      <c r="D67" s="810"/>
      <c r="E67" s="810"/>
      <c r="F67" s="810"/>
      <c r="G67" s="810"/>
      <c r="H67" s="811"/>
      <c r="I67" s="769">
        <f>SUM(J65:J65)</f>
        <v>610000</v>
      </c>
      <c r="J67" s="770"/>
      <c r="K67" s="226"/>
      <c r="L67" s="806">
        <f>SUM(M65:M65)</f>
        <v>530.4347826086957</v>
      </c>
      <c r="M67" s="806"/>
      <c r="N67" s="226"/>
      <c r="O67" s="804"/>
      <c r="P67" s="805"/>
      <c r="Q67" s="257"/>
      <c r="R67" s="258"/>
      <c r="S67" s="186"/>
    </row>
    <row r="68" spans="1:19" s="271" customFormat="1" ht="13.5" customHeight="1">
      <c r="A68" s="862"/>
      <c r="B68" s="775"/>
      <c r="C68" s="281"/>
      <c r="D68" s="286"/>
      <c r="E68" s="286"/>
      <c r="F68" s="287"/>
      <c r="G68" s="340"/>
      <c r="H68" s="259"/>
      <c r="I68" s="403"/>
      <c r="J68" s="288"/>
      <c r="K68" s="265"/>
      <c r="L68" s="289"/>
      <c r="M68" s="566"/>
      <c r="N68" s="265"/>
      <c r="O68" s="283"/>
      <c r="P68" s="282"/>
      <c r="Q68" s="264"/>
      <c r="R68" s="263"/>
      <c r="S68" s="186"/>
    </row>
    <row r="69" spans="1:19" s="271" customFormat="1" ht="13.5" customHeight="1">
      <c r="A69" s="862"/>
      <c r="B69" s="775"/>
      <c r="C69" s="800" t="s">
        <v>190</v>
      </c>
      <c r="D69" s="121"/>
      <c r="E69" s="121"/>
      <c r="F69" s="122"/>
      <c r="G69" s="339"/>
      <c r="H69" s="147"/>
      <c r="I69" s="401"/>
      <c r="J69" s="123"/>
      <c r="K69" s="297"/>
      <c r="L69" s="236"/>
      <c r="M69" s="559"/>
      <c r="N69" s="297"/>
      <c r="O69" s="714"/>
      <c r="P69" s="715"/>
      <c r="Q69" s="121"/>
      <c r="R69" s="121"/>
      <c r="S69" s="186"/>
    </row>
    <row r="70" spans="1:19" s="271" customFormat="1" ht="13.5" customHeight="1">
      <c r="A70" s="862"/>
      <c r="B70" s="775"/>
      <c r="C70" s="801"/>
      <c r="D70" s="126"/>
      <c r="E70" s="81"/>
      <c r="F70" s="125"/>
      <c r="G70" s="334"/>
      <c r="H70" s="148"/>
      <c r="I70" s="404"/>
      <c r="J70" s="85"/>
      <c r="K70" s="298"/>
      <c r="L70" s="236"/>
      <c r="M70" s="567"/>
      <c r="N70" s="298"/>
      <c r="O70" s="807"/>
      <c r="P70" s="808"/>
      <c r="Q70" s="81"/>
      <c r="R70" s="81"/>
      <c r="S70" s="186"/>
    </row>
    <row r="71" spans="1:19" s="79" customFormat="1" ht="13.5" customHeight="1">
      <c r="A71" s="862"/>
      <c r="B71" s="775"/>
      <c r="C71" s="812" t="s">
        <v>228</v>
      </c>
      <c r="D71" s="813"/>
      <c r="E71" s="813"/>
      <c r="F71" s="813"/>
      <c r="G71" s="813"/>
      <c r="H71" s="814"/>
      <c r="I71" s="769">
        <f>SUM(J69:J70)</f>
        <v>0</v>
      </c>
      <c r="J71" s="770"/>
      <c r="K71" s="226"/>
      <c r="L71" s="806">
        <f>SUM(M69:M70)</f>
        <v>0</v>
      </c>
      <c r="M71" s="806"/>
      <c r="N71" s="226"/>
      <c r="O71" s="804"/>
      <c r="P71" s="805"/>
      <c r="Q71" s="134"/>
      <c r="R71" s="167"/>
      <c r="S71" s="241"/>
    </row>
    <row r="72" spans="1:18" s="79" customFormat="1" ht="16.5" customHeight="1">
      <c r="A72" s="800"/>
      <c r="B72" s="775"/>
      <c r="C72" s="165"/>
      <c r="D72" s="166"/>
      <c r="E72" s="167"/>
      <c r="G72" s="338"/>
      <c r="I72" s="400"/>
      <c r="K72" s="768"/>
      <c r="L72" s="768"/>
      <c r="M72" s="768"/>
      <c r="N72" s="768"/>
      <c r="O72" s="768"/>
      <c r="P72" s="768"/>
      <c r="Q72" s="768"/>
      <c r="R72" s="134"/>
    </row>
    <row r="73" spans="1:20" ht="13.5" customHeight="1">
      <c r="A73" s="785" t="s">
        <v>263</v>
      </c>
      <c r="B73" s="786"/>
      <c r="C73" s="786"/>
      <c r="D73" s="786"/>
      <c r="E73" s="787"/>
      <c r="F73" s="223" t="s">
        <v>238</v>
      </c>
      <c r="G73" s="782">
        <f>I73/E1</f>
        <v>22256.3</v>
      </c>
      <c r="H73" s="782"/>
      <c r="I73" s="771">
        <f>I63+I71+I67</f>
        <v>22256300</v>
      </c>
      <c r="J73" s="772"/>
      <c r="K73" s="119"/>
      <c r="L73" s="822">
        <f>I73/O1</f>
        <v>19353.304347826088</v>
      </c>
      <c r="M73" s="823"/>
      <c r="N73" s="522"/>
      <c r="O73" s="753"/>
      <c r="P73" s="754"/>
      <c r="Q73" s="116"/>
      <c r="R73" s="119"/>
      <c r="S73" s="79"/>
      <c r="T73" s="79"/>
    </row>
    <row r="74" spans="1:20" s="186" customFormat="1" ht="13.5" customHeight="1">
      <c r="A74" s="250"/>
      <c r="B74" s="250"/>
      <c r="C74" s="250"/>
      <c r="D74" s="250"/>
      <c r="E74" s="250"/>
      <c r="F74" s="251"/>
      <c r="G74" s="341"/>
      <c r="H74" s="252"/>
      <c r="I74" s="405"/>
      <c r="J74" s="253"/>
      <c r="K74" s="254"/>
      <c r="L74" s="255"/>
      <c r="M74" s="568"/>
      <c r="N74" s="254"/>
      <c r="O74" s="254"/>
      <c r="P74" s="254"/>
      <c r="Q74" s="254"/>
      <c r="R74" s="254"/>
      <c r="S74" s="191"/>
      <c r="T74" s="191"/>
    </row>
    <row r="75" spans="1:20" s="186" customFormat="1" ht="13.5" customHeight="1">
      <c r="A75" s="718" t="s">
        <v>249</v>
      </c>
      <c r="B75" s="850" t="s">
        <v>250</v>
      </c>
      <c r="C75" s="800" t="s">
        <v>251</v>
      </c>
      <c r="D75" s="441" t="s">
        <v>293</v>
      </c>
      <c r="E75" s="442" t="s">
        <v>296</v>
      </c>
      <c r="F75" s="443">
        <v>4</v>
      </c>
      <c r="G75" s="374">
        <f>E1</f>
        <v>1000</v>
      </c>
      <c r="H75" s="375" t="s">
        <v>221</v>
      </c>
      <c r="I75" s="444">
        <v>30</v>
      </c>
      <c r="J75" s="206">
        <f>I75*G75*F75</f>
        <v>120000</v>
      </c>
      <c r="K75" s="297"/>
      <c r="L75" s="296">
        <f>I75/$O$1</f>
        <v>0.02608695652173913</v>
      </c>
      <c r="M75" s="569">
        <f>L75*G75</f>
        <v>26.08695652173913</v>
      </c>
      <c r="N75" s="272"/>
      <c r="O75" s="445"/>
      <c r="P75" s="446"/>
      <c r="Q75" s="124"/>
      <c r="R75" s="124"/>
      <c r="S75" s="191"/>
      <c r="T75" s="191"/>
    </row>
    <row r="76" spans="1:20" s="186" customFormat="1" ht="13.5" customHeight="1">
      <c r="A76" s="720"/>
      <c r="B76" s="851"/>
      <c r="C76" s="801"/>
      <c r="D76" s="298" t="s">
        <v>294</v>
      </c>
      <c r="E76" s="442" t="s">
        <v>296</v>
      </c>
      <c r="F76" s="207">
        <v>3</v>
      </c>
      <c r="G76" s="334">
        <f>E1</f>
        <v>1000</v>
      </c>
      <c r="H76" s="328" t="s">
        <v>221</v>
      </c>
      <c r="I76" s="404">
        <v>30</v>
      </c>
      <c r="J76" s="206">
        <f>I76*G76*F76</f>
        <v>90000</v>
      </c>
      <c r="K76" s="298"/>
      <c r="L76" s="296">
        <f>I76/$O$1</f>
        <v>0.02608695652173913</v>
      </c>
      <c r="M76" s="569">
        <f>L76*G76</f>
        <v>26.08695652173913</v>
      </c>
      <c r="N76" s="193"/>
      <c r="O76" s="218"/>
      <c r="P76" s="200"/>
      <c r="Q76" s="202"/>
      <c r="R76" s="202"/>
      <c r="S76" s="191"/>
      <c r="T76" s="191"/>
    </row>
    <row r="77" spans="1:20" s="186" customFormat="1" ht="13.5" customHeight="1">
      <c r="A77" s="720"/>
      <c r="B77" s="851"/>
      <c r="C77" s="801"/>
      <c r="D77" s="297" t="s">
        <v>265</v>
      </c>
      <c r="E77" s="297" t="s">
        <v>266</v>
      </c>
      <c r="F77" s="207">
        <v>1</v>
      </c>
      <c r="G77" s="334">
        <f>E1</f>
        <v>1000</v>
      </c>
      <c r="H77" s="534" t="s">
        <v>221</v>
      </c>
      <c r="I77" s="401">
        <v>550</v>
      </c>
      <c r="J77" s="206">
        <f>I77*G77*F77</f>
        <v>550000</v>
      </c>
      <c r="K77" s="298"/>
      <c r="L77" s="236">
        <f>I77/O1</f>
        <v>0.4782608695652174</v>
      </c>
      <c r="M77" s="559">
        <f>L77*G77*F77</f>
        <v>478.26086956521743</v>
      </c>
      <c r="N77" s="298"/>
      <c r="O77" s="218"/>
      <c r="P77" s="200"/>
      <c r="Q77" s="190"/>
      <c r="R77" s="190"/>
      <c r="S77" s="191"/>
      <c r="T77" s="191"/>
    </row>
    <row r="78" spans="1:20" s="186" customFormat="1" ht="13.5" customHeight="1">
      <c r="A78" s="720"/>
      <c r="B78" s="851"/>
      <c r="C78" s="801"/>
      <c r="D78" s="193" t="s">
        <v>295</v>
      </c>
      <c r="E78" s="442" t="s">
        <v>296</v>
      </c>
      <c r="F78" s="207">
        <v>3</v>
      </c>
      <c r="G78" s="334">
        <f>E1</f>
        <v>1000</v>
      </c>
      <c r="H78" s="192" t="s">
        <v>221</v>
      </c>
      <c r="I78" s="404">
        <v>30</v>
      </c>
      <c r="J78" s="206">
        <f>I78*G78*F78</f>
        <v>90000</v>
      </c>
      <c r="K78" s="193"/>
      <c r="L78" s="296">
        <f>I78/$O$1</f>
        <v>0.02608695652173913</v>
      </c>
      <c r="M78" s="569">
        <f>L78*G78</f>
        <v>26.08695652173913</v>
      </c>
      <c r="N78" s="193"/>
      <c r="O78" s="218"/>
      <c r="P78" s="200"/>
      <c r="Q78" s="190"/>
      <c r="R78" s="138"/>
      <c r="S78" s="191"/>
      <c r="T78" s="191"/>
    </row>
    <row r="79" spans="1:20" s="186" customFormat="1" ht="13.5" customHeight="1">
      <c r="A79" s="720"/>
      <c r="B79" s="851"/>
      <c r="D79" s="151" t="s">
        <v>297</v>
      </c>
      <c r="E79" s="151" t="s">
        <v>297</v>
      </c>
      <c r="F79" s="435">
        <v>1</v>
      </c>
      <c r="G79" s="447">
        <f>E1</f>
        <v>1000</v>
      </c>
      <c r="H79" s="389" t="s">
        <v>221</v>
      </c>
      <c r="I79" s="406">
        <v>500</v>
      </c>
      <c r="J79" s="169">
        <f>I79*G79*F79</f>
        <v>500000</v>
      </c>
      <c r="K79" s="139"/>
      <c r="L79" s="236">
        <f>I79/$O$1</f>
        <v>0.43478260869565216</v>
      </c>
      <c r="M79" s="569">
        <f>L79*G79</f>
        <v>434.7826086956522</v>
      </c>
      <c r="N79" s="139"/>
      <c r="O79" s="144"/>
      <c r="P79" s="140"/>
      <c r="Q79" s="139"/>
      <c r="R79" s="139"/>
      <c r="S79" s="271"/>
      <c r="T79" s="271"/>
    </row>
    <row r="80" spans="1:20" s="186" customFormat="1" ht="16.5" customHeight="1">
      <c r="A80" s="720"/>
      <c r="B80" s="851"/>
      <c r="C80" s="541" t="s">
        <v>228</v>
      </c>
      <c r="D80" s="542"/>
      <c r="E80" s="542"/>
      <c r="F80" s="542"/>
      <c r="G80" s="542"/>
      <c r="H80" s="543"/>
      <c r="I80" s="769">
        <f>SUM(J75:J79)</f>
        <v>1350000</v>
      </c>
      <c r="J80" s="770"/>
      <c r="K80" s="134"/>
      <c r="L80" s="764">
        <f>SUM(M75:M79)</f>
        <v>991.304347826087</v>
      </c>
      <c r="M80" s="751"/>
      <c r="N80" s="134"/>
      <c r="O80" s="716"/>
      <c r="P80" s="717"/>
      <c r="Q80" s="134"/>
      <c r="R80" s="167"/>
      <c r="S80" s="271"/>
      <c r="T80" s="271"/>
    </row>
    <row r="81" spans="1:20" s="186" customFormat="1" ht="13.5" customHeight="1">
      <c r="A81" s="720"/>
      <c r="B81" s="851"/>
      <c r="C81" s="783" t="s">
        <v>252</v>
      </c>
      <c r="D81" s="264"/>
      <c r="E81" s="264"/>
      <c r="F81" s="268"/>
      <c r="G81" s="343"/>
      <c r="H81" s="263"/>
      <c r="I81" s="407"/>
      <c r="J81" s="284"/>
      <c r="K81" s="264"/>
      <c r="L81" s="245"/>
      <c r="M81" s="570"/>
      <c r="N81" s="264"/>
      <c r="O81" s="285"/>
      <c r="P81" s="263"/>
      <c r="Q81" s="264"/>
      <c r="R81" s="282"/>
      <c r="S81" s="271"/>
      <c r="T81" s="271"/>
    </row>
    <row r="82" spans="1:20" s="186" customFormat="1" ht="13.5" customHeight="1">
      <c r="A82" s="720"/>
      <c r="B82" s="851"/>
      <c r="C82" s="784"/>
      <c r="D82" s="121" t="s">
        <v>269</v>
      </c>
      <c r="E82" s="121" t="s">
        <v>321</v>
      </c>
      <c r="F82" s="122">
        <v>1</v>
      </c>
      <c r="G82" s="339">
        <f>E1</f>
        <v>1000</v>
      </c>
      <c r="H82" s="133" t="s">
        <v>221</v>
      </c>
      <c r="I82" s="401">
        <v>2000</v>
      </c>
      <c r="J82" s="123">
        <f>I82*G82*F82</f>
        <v>2000000</v>
      </c>
      <c r="K82" s="124"/>
      <c r="L82" s="239">
        <f aca="true" t="shared" si="8" ref="L82:M84">I82/$O$1</f>
        <v>1.7391304347826086</v>
      </c>
      <c r="M82" s="559">
        <f t="shared" si="8"/>
        <v>1739.1304347826087</v>
      </c>
      <c r="N82" s="124"/>
      <c r="O82" s="450"/>
      <c r="P82" s="451"/>
      <c r="Q82" s="121"/>
      <c r="R82" s="282"/>
      <c r="S82" s="271"/>
      <c r="T82" s="271"/>
    </row>
    <row r="83" spans="1:20" s="186" customFormat="1" ht="13.5" customHeight="1">
      <c r="A83" s="720"/>
      <c r="B83" s="851"/>
      <c r="C83" s="784"/>
      <c r="D83" s="81" t="s">
        <v>298</v>
      </c>
      <c r="E83" s="531" t="s">
        <v>300</v>
      </c>
      <c r="F83" s="125">
        <v>2</v>
      </c>
      <c r="G83" s="334">
        <f>E1</f>
        <v>1000</v>
      </c>
      <c r="H83" s="56" t="s">
        <v>221</v>
      </c>
      <c r="I83" s="238">
        <v>0.5</v>
      </c>
      <c r="J83" s="238">
        <f>I83*G83*F83</f>
        <v>1000</v>
      </c>
      <c r="K83" s="138"/>
      <c r="L83" s="239">
        <f t="shared" si="8"/>
        <v>0.0004347826086956522</v>
      </c>
      <c r="M83" s="559">
        <f t="shared" si="8"/>
        <v>0.8695652173913043</v>
      </c>
      <c r="N83" s="138"/>
      <c r="O83" s="89"/>
      <c r="P83" s="91"/>
      <c r="Q83" s="81"/>
      <c r="R83" s="282"/>
      <c r="S83" s="271"/>
      <c r="T83" s="271"/>
    </row>
    <row r="84" spans="1:20" s="186" customFormat="1" ht="13.5" customHeight="1">
      <c r="A84" s="720"/>
      <c r="B84" s="851"/>
      <c r="C84" s="784"/>
      <c r="D84" s="81" t="s">
        <v>299</v>
      </c>
      <c r="E84" s="532" t="s">
        <v>301</v>
      </c>
      <c r="F84" s="125">
        <v>2</v>
      </c>
      <c r="G84" s="334">
        <f>E1</f>
        <v>1000</v>
      </c>
      <c r="H84" s="56" t="s">
        <v>221</v>
      </c>
      <c r="I84" s="238">
        <v>1.8</v>
      </c>
      <c r="J84" s="238">
        <f>I84*G84*F84</f>
        <v>3600</v>
      </c>
      <c r="K84" s="138"/>
      <c r="L84" s="239">
        <f t="shared" si="8"/>
        <v>0.001565217391304348</v>
      </c>
      <c r="M84" s="559">
        <f t="shared" si="8"/>
        <v>3.130434782608696</v>
      </c>
      <c r="N84" s="138"/>
      <c r="O84" s="89"/>
      <c r="P84" s="91"/>
      <c r="Q84" s="81"/>
      <c r="R84" s="282"/>
      <c r="S84" s="271"/>
      <c r="T84" s="271"/>
    </row>
    <row r="85" spans="1:20" s="186" customFormat="1" ht="13.5" customHeight="1">
      <c r="A85" s="720"/>
      <c r="B85" s="851"/>
      <c r="C85" s="784"/>
      <c r="D85" s="81"/>
      <c r="E85" s="81"/>
      <c r="F85" s="125"/>
      <c r="G85" s="334"/>
      <c r="H85" s="56"/>
      <c r="I85" s="404"/>
      <c r="J85" s="85"/>
      <c r="K85" s="138"/>
      <c r="L85" s="239"/>
      <c r="M85" s="559"/>
      <c r="N85" s="138"/>
      <c r="O85" s="89"/>
      <c r="P85" s="91"/>
      <c r="Q85" s="81"/>
      <c r="R85" s="282"/>
      <c r="S85" s="271"/>
      <c r="T85" s="271"/>
    </row>
    <row r="86" spans="1:20" s="186" customFormat="1" ht="18.75" customHeight="1">
      <c r="A86" s="720"/>
      <c r="B86" s="851"/>
      <c r="C86" s="541" t="s">
        <v>228</v>
      </c>
      <c r="D86" s="168"/>
      <c r="E86" s="168"/>
      <c r="F86" s="448"/>
      <c r="G86" s="449"/>
      <c r="H86" s="352"/>
      <c r="I86" s="408"/>
      <c r="J86" s="108"/>
      <c r="K86" s="151"/>
      <c r="L86" s="236"/>
      <c r="M86" s="571"/>
      <c r="N86" s="151"/>
      <c r="O86" s="452"/>
      <c r="P86" s="453"/>
      <c r="Q86" s="168"/>
      <c r="R86" s="282"/>
      <c r="S86" s="271"/>
      <c r="T86" s="271"/>
    </row>
    <row r="87" spans="1:20" s="186" customFormat="1" ht="12.75" customHeight="1">
      <c r="A87" s="720"/>
      <c r="B87" s="851"/>
      <c r="C87" s="580"/>
      <c r="D87" s="542"/>
      <c r="E87" s="542"/>
      <c r="F87" s="542"/>
      <c r="G87" s="542"/>
      <c r="H87" s="543"/>
      <c r="I87" s="824">
        <f>SUM(J82:J84)</f>
        <v>2004600</v>
      </c>
      <c r="J87" s="825"/>
      <c r="K87" s="134"/>
      <c r="L87" s="764">
        <f>SUM(M82:M86)</f>
        <v>1743.1304347826087</v>
      </c>
      <c r="M87" s="751"/>
      <c r="N87" s="134"/>
      <c r="O87" s="716"/>
      <c r="P87" s="717"/>
      <c r="Q87" s="134"/>
      <c r="R87" s="282"/>
      <c r="S87" s="271"/>
      <c r="T87" s="271"/>
    </row>
    <row r="88" spans="1:20" s="186" customFormat="1" ht="13.5" customHeight="1">
      <c r="A88" s="720"/>
      <c r="B88" s="851"/>
      <c r="C88" s="783" t="s">
        <v>253</v>
      </c>
      <c r="D88" s="546"/>
      <c r="E88" s="546"/>
      <c r="F88" s="546"/>
      <c r="G88" s="546"/>
      <c r="H88" s="547"/>
      <c r="I88" s="802"/>
      <c r="J88" s="803"/>
      <c r="K88" s="768"/>
      <c r="L88" s="768"/>
      <c r="M88" s="768"/>
      <c r="N88" s="768"/>
      <c r="O88" s="768"/>
      <c r="P88" s="768"/>
      <c r="Q88" s="768"/>
      <c r="R88" s="282"/>
      <c r="S88" s="271"/>
      <c r="T88" s="271"/>
    </row>
    <row r="89" spans="1:20" s="186" customFormat="1" ht="13.5" customHeight="1">
      <c r="A89" s="720"/>
      <c r="B89" s="851"/>
      <c r="C89" s="784"/>
      <c r="D89" s="160" t="s">
        <v>292</v>
      </c>
      <c r="E89" s="160"/>
      <c r="F89" s="42">
        <v>1</v>
      </c>
      <c r="G89" s="344">
        <v>1</v>
      </c>
      <c r="H89" s="163" t="s">
        <v>221</v>
      </c>
      <c r="I89" s="518">
        <v>0.06</v>
      </c>
      <c r="J89" s="161">
        <f>I73*I89</f>
        <v>1335378</v>
      </c>
      <c r="K89" s="519" t="s">
        <v>262</v>
      </c>
      <c r="L89" s="242">
        <v>0.06</v>
      </c>
      <c r="M89" s="572">
        <f>J89/$O$1</f>
        <v>1161.1982608695653</v>
      </c>
      <c r="N89" s="162"/>
      <c r="O89" s="454"/>
      <c r="P89" s="455"/>
      <c r="Q89" s="160"/>
      <c r="R89" s="282"/>
      <c r="S89" s="271"/>
      <c r="T89" s="271"/>
    </row>
    <row r="90" spans="1:20" s="186" customFormat="1" ht="13.5" customHeight="1">
      <c r="A90" s="720"/>
      <c r="B90" s="851"/>
      <c r="C90" s="784"/>
      <c r="D90" s="81" t="s">
        <v>271</v>
      </c>
      <c r="E90" s="81"/>
      <c r="F90" s="125">
        <v>1</v>
      </c>
      <c r="G90" s="336">
        <f>E1</f>
        <v>1000</v>
      </c>
      <c r="H90" s="56" t="s">
        <v>221</v>
      </c>
      <c r="I90" s="404">
        <v>2400</v>
      </c>
      <c r="J90" s="85">
        <f>I90*G90*F90</f>
        <v>2400000</v>
      </c>
      <c r="K90" s="138"/>
      <c r="L90" s="236">
        <f>I90/O1</f>
        <v>2.0869565217391304</v>
      </c>
      <c r="M90" s="567">
        <f>L90*G90*F90</f>
        <v>2086.9565217391305</v>
      </c>
      <c r="N90" s="138"/>
      <c r="O90" s="89"/>
      <c r="P90" s="91"/>
      <c r="Q90" s="81"/>
      <c r="R90" s="282"/>
      <c r="S90" s="271"/>
      <c r="T90" s="271"/>
    </row>
    <row r="91" spans="1:20" s="186" customFormat="1" ht="13.5" customHeight="1">
      <c r="A91" s="720"/>
      <c r="B91" s="851"/>
      <c r="C91" s="784"/>
      <c r="D91" s="81"/>
      <c r="E91" s="81"/>
      <c r="F91" s="125"/>
      <c r="G91" s="336"/>
      <c r="H91" s="56"/>
      <c r="I91" s="404"/>
      <c r="J91" s="85"/>
      <c r="K91" s="138"/>
      <c r="L91" s="236"/>
      <c r="M91" s="567"/>
      <c r="N91" s="138"/>
      <c r="O91" s="89"/>
      <c r="P91" s="91"/>
      <c r="Q91" s="81"/>
      <c r="R91" s="282"/>
      <c r="S91" s="271"/>
      <c r="T91" s="271"/>
    </row>
    <row r="92" spans="1:20" s="186" customFormat="1" ht="13.5" customHeight="1">
      <c r="A92" s="720"/>
      <c r="B92" s="851"/>
      <c r="C92" s="784"/>
      <c r="D92" s="81"/>
      <c r="E92" s="81"/>
      <c r="F92" s="125"/>
      <c r="G92" s="336"/>
      <c r="H92" s="56"/>
      <c r="I92" s="404"/>
      <c r="J92" s="85"/>
      <c r="K92" s="138"/>
      <c r="L92" s="236"/>
      <c r="M92" s="567"/>
      <c r="N92" s="138"/>
      <c r="O92" s="89"/>
      <c r="P92" s="91"/>
      <c r="Q92" s="81"/>
      <c r="R92" s="282"/>
      <c r="S92" s="271"/>
      <c r="T92" s="271"/>
    </row>
    <row r="93" spans="1:20" s="186" customFormat="1" ht="13.5" customHeight="1">
      <c r="A93" s="720"/>
      <c r="B93" s="851"/>
      <c r="C93" s="784"/>
      <c r="D93" s="81"/>
      <c r="E93" s="81"/>
      <c r="F93" s="125"/>
      <c r="G93" s="336"/>
      <c r="H93" s="56"/>
      <c r="I93" s="404"/>
      <c r="J93" s="85"/>
      <c r="K93" s="138"/>
      <c r="L93" s="236"/>
      <c r="M93" s="567"/>
      <c r="N93" s="138"/>
      <c r="O93" s="89"/>
      <c r="P93" s="91"/>
      <c r="Q93" s="81"/>
      <c r="R93" s="282"/>
      <c r="S93" s="271"/>
      <c r="T93" s="271"/>
    </row>
    <row r="94" spans="1:20" s="186" customFormat="1" ht="13.5" customHeight="1">
      <c r="A94" s="720"/>
      <c r="B94" s="851"/>
      <c r="C94" s="541" t="s">
        <v>228</v>
      </c>
      <c r="D94" s="168"/>
      <c r="E94" s="168"/>
      <c r="F94" s="448"/>
      <c r="G94" s="351"/>
      <c r="H94" s="352"/>
      <c r="I94" s="402"/>
      <c r="J94" s="127"/>
      <c r="K94" s="139"/>
      <c r="L94" s="236"/>
      <c r="M94" s="564"/>
      <c r="N94" s="139"/>
      <c r="O94" s="456"/>
      <c r="P94" s="457"/>
      <c r="Q94" s="126"/>
      <c r="R94" s="282"/>
      <c r="S94" s="271"/>
      <c r="T94" s="271"/>
    </row>
    <row r="95" spans="1:20" s="186" customFormat="1" ht="12.75" customHeight="1">
      <c r="A95" s="720"/>
      <c r="B95" s="852"/>
      <c r="C95" s="541"/>
      <c r="D95" s="542"/>
      <c r="E95" s="542"/>
      <c r="F95" s="542"/>
      <c r="G95" s="542"/>
      <c r="H95" s="543"/>
      <c r="I95" s="796">
        <f>SUM(J89:J94)</f>
        <v>3735378</v>
      </c>
      <c r="J95" s="797"/>
      <c r="K95" s="134"/>
      <c r="L95" s="764">
        <f>SUM(M89:M94)</f>
        <v>3248.1547826086958</v>
      </c>
      <c r="M95" s="751"/>
      <c r="N95" s="134"/>
      <c r="O95" s="716"/>
      <c r="P95" s="717"/>
      <c r="Q95" s="134"/>
      <c r="R95" s="282"/>
      <c r="S95" s="191"/>
      <c r="T95" s="191"/>
    </row>
    <row r="96" spans="1:20" s="186" customFormat="1" ht="13.5" customHeight="1">
      <c r="A96" s="548" t="s">
        <v>368</v>
      </c>
      <c r="B96" s="549"/>
      <c r="C96" s="549"/>
      <c r="D96" s="542"/>
      <c r="E96" s="542"/>
      <c r="F96" s="542"/>
      <c r="G96" s="542"/>
      <c r="H96" s="542"/>
      <c r="I96" s="542"/>
      <c r="J96" s="542"/>
      <c r="K96" s="542"/>
      <c r="L96" s="542"/>
      <c r="M96" s="542"/>
      <c r="N96" s="542"/>
      <c r="O96" s="542"/>
      <c r="P96" s="542"/>
      <c r="Q96" s="542"/>
      <c r="R96" s="543"/>
      <c r="S96" s="191"/>
      <c r="T96" s="191"/>
    </row>
    <row r="97" spans="1:20" ht="26.25" customHeight="1" thickBot="1">
      <c r="A97" s="544" t="s">
        <v>222</v>
      </c>
      <c r="B97" s="545"/>
      <c r="C97" s="545"/>
      <c r="D97" s="549"/>
      <c r="E97" s="549"/>
      <c r="F97" s="550"/>
      <c r="G97" s="782">
        <f>I97/E1</f>
        <v>7089.978</v>
      </c>
      <c r="H97" s="782"/>
      <c r="I97" s="771">
        <f>I80+I87+I95</f>
        <v>7089978</v>
      </c>
      <c r="J97" s="772"/>
      <c r="K97" s="204"/>
      <c r="L97" s="839">
        <f>L80+L87+L95</f>
        <v>5982.589565217391</v>
      </c>
      <c r="M97" s="840"/>
      <c r="N97" s="205"/>
      <c r="O97" s="753"/>
      <c r="P97" s="754"/>
      <c r="Q97" s="205"/>
      <c r="R97" s="204"/>
      <c r="S97" s="107"/>
      <c r="T97" s="107"/>
    </row>
    <row r="98" spans="1:20" ht="13.5" customHeight="1" thickBot="1">
      <c r="A98" s="111"/>
      <c r="B98" s="111"/>
      <c r="C98" s="111"/>
      <c r="D98" s="545"/>
      <c r="E98" s="545"/>
      <c r="F98" s="545"/>
      <c r="G98" s="857">
        <f>G18+G73+G97</f>
        <v>43324.278000000006</v>
      </c>
      <c r="H98" s="858"/>
      <c r="I98" s="794">
        <f>I18+I73+I97</f>
        <v>43324278</v>
      </c>
      <c r="J98" s="795"/>
      <c r="K98" s="117"/>
      <c r="L98" s="832">
        <f>L18+L73+L97</f>
        <v>37490.67652173913</v>
      </c>
      <c r="M98" s="833"/>
      <c r="N98" s="117"/>
      <c r="O98" s="117"/>
      <c r="P98" s="117"/>
      <c r="Q98" s="118"/>
      <c r="R98" s="134"/>
      <c r="S98" s="79"/>
      <c r="T98" s="79"/>
    </row>
    <row r="99" spans="1:20" ht="13.5" customHeight="1">
      <c r="A99" s="800" t="s">
        <v>369</v>
      </c>
      <c r="B99" s="776" t="s">
        <v>254</v>
      </c>
      <c r="C99" s="718" t="s">
        <v>255</v>
      </c>
      <c r="D99" s="111"/>
      <c r="E99" s="111"/>
      <c r="F99" s="112"/>
      <c r="G99" s="345"/>
      <c r="H99" s="114"/>
      <c r="I99" s="409"/>
      <c r="J99" s="115"/>
      <c r="K99" s="113"/>
      <c r="L99" s="307"/>
      <c r="M99" s="573"/>
      <c r="N99" s="113"/>
      <c r="O99" s="111"/>
      <c r="P99" s="111"/>
      <c r="Q99" s="111"/>
      <c r="R99" s="111"/>
      <c r="S99" s="79"/>
      <c r="T99" s="79"/>
    </row>
    <row r="100" spans="1:20" s="186" customFormat="1" ht="13.5" customHeight="1">
      <c r="A100" s="801"/>
      <c r="B100" s="777"/>
      <c r="C100" s="720"/>
      <c r="D100" s="124"/>
      <c r="E100" s="124"/>
      <c r="F100" s="326">
        <v>1</v>
      </c>
      <c r="G100" s="433">
        <v>1</v>
      </c>
      <c r="H100" s="225" t="s">
        <v>61</v>
      </c>
      <c r="I100" s="439">
        <f>J100/G100</f>
        <v>36000000</v>
      </c>
      <c r="J100" s="434">
        <v>36000000</v>
      </c>
      <c r="K100" s="798" t="s">
        <v>262</v>
      </c>
      <c r="L100" s="296">
        <f>I100/$O$1</f>
        <v>31304.347826086956</v>
      </c>
      <c r="M100" s="574">
        <f aca="true" t="shared" si="9" ref="M100:M105">L100*G100</f>
        <v>31304.347826086956</v>
      </c>
      <c r="N100" s="124"/>
      <c r="O100" s="371">
        <v>15</v>
      </c>
      <c r="P100" s="225" t="s">
        <v>226</v>
      </c>
      <c r="Q100" s="121"/>
      <c r="R100" s="826"/>
      <c r="S100" s="327"/>
      <c r="T100" s="327"/>
    </row>
    <row r="101" spans="1:20" s="186" customFormat="1" ht="13.5" customHeight="1">
      <c r="A101" s="801"/>
      <c r="B101" s="777"/>
      <c r="C101" s="720"/>
      <c r="D101" s="190"/>
      <c r="E101" s="190"/>
      <c r="F101" s="435">
        <v>1</v>
      </c>
      <c r="G101" s="436">
        <v>1</v>
      </c>
      <c r="H101" s="200" t="s">
        <v>61</v>
      </c>
      <c r="I101" s="220">
        <f aca="true" t="shared" si="10" ref="I101:I110">J101/G101</f>
        <v>23000000</v>
      </c>
      <c r="J101" s="221">
        <v>23000000</v>
      </c>
      <c r="K101" s="799"/>
      <c r="L101" s="236">
        <f>I101/$O$1</f>
        <v>20000</v>
      </c>
      <c r="M101" s="575">
        <f t="shared" si="9"/>
        <v>20000</v>
      </c>
      <c r="N101" s="190"/>
      <c r="O101" s="373">
        <v>7</v>
      </c>
      <c r="P101" s="200" t="s">
        <v>225</v>
      </c>
      <c r="Q101" s="160"/>
      <c r="R101" s="827"/>
      <c r="S101" s="327"/>
      <c r="T101" s="327"/>
    </row>
    <row r="102" spans="1:20" s="186" customFormat="1" ht="13.5" customHeight="1">
      <c r="A102" s="801"/>
      <c r="B102" s="777"/>
      <c r="C102" s="720"/>
      <c r="D102" s="190"/>
      <c r="E102" s="437"/>
      <c r="F102" s="435">
        <v>1</v>
      </c>
      <c r="G102" s="436">
        <v>1</v>
      </c>
      <c r="H102" s="200" t="s">
        <v>61</v>
      </c>
      <c r="I102" s="220">
        <f t="shared" si="10"/>
        <v>14000000</v>
      </c>
      <c r="J102" s="221">
        <v>14000000</v>
      </c>
      <c r="K102" s="799"/>
      <c r="L102" s="236">
        <f>I102/$O$1</f>
        <v>12173.91304347826</v>
      </c>
      <c r="M102" s="575">
        <f t="shared" si="9"/>
        <v>12173.91304347826</v>
      </c>
      <c r="N102" s="190"/>
      <c r="O102" s="373">
        <v>30</v>
      </c>
      <c r="P102" s="200" t="s">
        <v>225</v>
      </c>
      <c r="Q102" s="160"/>
      <c r="R102" s="827"/>
      <c r="S102" s="327"/>
      <c r="T102" s="327"/>
    </row>
    <row r="103" spans="1:20" s="186" customFormat="1" ht="13.5" customHeight="1">
      <c r="A103" s="801"/>
      <c r="B103" s="777"/>
      <c r="C103" s="720"/>
      <c r="D103" s="190"/>
      <c r="E103" s="190"/>
      <c r="F103" s="219">
        <v>1</v>
      </c>
      <c r="G103" s="436">
        <v>1</v>
      </c>
      <c r="H103" s="200" t="s">
        <v>61</v>
      </c>
      <c r="I103" s="220">
        <f t="shared" si="10"/>
        <v>38000000</v>
      </c>
      <c r="J103" s="221">
        <v>38000000</v>
      </c>
      <c r="K103" s="799"/>
      <c r="L103" s="236">
        <f>I103/$O$1</f>
        <v>33043.47826086957</v>
      </c>
      <c r="M103" s="575">
        <f t="shared" si="9"/>
        <v>33043.47826086957</v>
      </c>
      <c r="N103" s="190"/>
      <c r="O103" s="373">
        <v>15</v>
      </c>
      <c r="P103" s="200" t="s">
        <v>225</v>
      </c>
      <c r="Q103" s="160"/>
      <c r="R103" s="827"/>
      <c r="S103" s="327"/>
      <c r="T103" s="327"/>
    </row>
    <row r="104" spans="1:20" s="186" customFormat="1" ht="13.5" customHeight="1">
      <c r="A104" s="801"/>
      <c r="B104" s="777"/>
      <c r="C104" s="720"/>
      <c r="D104" s="190"/>
      <c r="E104" s="190"/>
      <c r="F104" s="435">
        <v>1</v>
      </c>
      <c r="G104" s="436">
        <v>1</v>
      </c>
      <c r="H104" s="200" t="s">
        <v>61</v>
      </c>
      <c r="I104" s="220">
        <f t="shared" si="10"/>
        <v>15000000</v>
      </c>
      <c r="J104" s="221">
        <v>15000000</v>
      </c>
      <c r="K104" s="799"/>
      <c r="L104" s="236">
        <f aca="true" t="shared" si="11" ref="L104:L113">I104/$O$1</f>
        <v>13043.478260869566</v>
      </c>
      <c r="M104" s="575">
        <f t="shared" si="9"/>
        <v>13043.478260869566</v>
      </c>
      <c r="N104" s="190"/>
      <c r="O104" s="373"/>
      <c r="P104" s="200"/>
      <c r="Q104" s="160"/>
      <c r="R104" s="827"/>
      <c r="S104" s="327"/>
      <c r="T104" s="327"/>
    </row>
    <row r="105" spans="1:20" s="186" customFormat="1" ht="13.5" customHeight="1">
      <c r="A105" s="801"/>
      <c r="B105" s="777"/>
      <c r="C105" s="720"/>
      <c r="D105" s="190"/>
      <c r="E105" s="190"/>
      <c r="F105" s="841">
        <v>1</v>
      </c>
      <c r="G105" s="778">
        <v>1</v>
      </c>
      <c r="H105" s="780" t="s">
        <v>61</v>
      </c>
      <c r="I105" s="855">
        <f t="shared" si="10"/>
        <v>9000000</v>
      </c>
      <c r="J105" s="846">
        <v>9000000</v>
      </c>
      <c r="K105" s="799"/>
      <c r="L105" s="848">
        <f t="shared" si="11"/>
        <v>7826.086956521739</v>
      </c>
      <c r="M105" s="834">
        <f t="shared" si="9"/>
        <v>7826.086956521739</v>
      </c>
      <c r="N105" s="190"/>
      <c r="O105" s="373"/>
      <c r="P105" s="200"/>
      <c r="Q105" s="160"/>
      <c r="R105" s="827"/>
      <c r="S105" s="521"/>
      <c r="T105" s="521"/>
    </row>
    <row r="106" spans="1:20" s="186" customFormat="1" ht="12">
      <c r="A106" s="801"/>
      <c r="B106" s="777"/>
      <c r="C106" s="720"/>
      <c r="D106" s="190"/>
      <c r="E106" s="190"/>
      <c r="F106" s="842"/>
      <c r="G106" s="779"/>
      <c r="H106" s="781"/>
      <c r="I106" s="856"/>
      <c r="J106" s="847"/>
      <c r="K106" s="799"/>
      <c r="L106" s="849"/>
      <c r="M106" s="835"/>
      <c r="N106" s="190"/>
      <c r="O106" s="373"/>
      <c r="P106" s="200"/>
      <c r="Q106" s="160"/>
      <c r="R106" s="827"/>
      <c r="S106" s="327"/>
      <c r="T106" s="327"/>
    </row>
    <row r="107" spans="1:20" s="186" customFormat="1" ht="13.5" customHeight="1">
      <c r="A107" s="801"/>
      <c r="B107" s="777"/>
      <c r="C107" s="720"/>
      <c r="D107" s="190"/>
      <c r="E107" s="190"/>
      <c r="F107" s="435">
        <v>1</v>
      </c>
      <c r="G107" s="436">
        <v>1</v>
      </c>
      <c r="H107" s="200" t="s">
        <v>61</v>
      </c>
      <c r="I107" s="220">
        <f t="shared" si="10"/>
        <v>3500000</v>
      </c>
      <c r="J107" s="221">
        <v>3500000</v>
      </c>
      <c r="K107" s="799"/>
      <c r="L107" s="236">
        <f t="shared" si="11"/>
        <v>3043.478260869565</v>
      </c>
      <c r="M107" s="575">
        <f aca="true" t="shared" si="12" ref="M107:M113">L107*G107</f>
        <v>3043.478260869565</v>
      </c>
      <c r="N107" s="190"/>
      <c r="O107" s="373"/>
      <c r="P107" s="200"/>
      <c r="Q107" s="160"/>
      <c r="R107" s="827"/>
      <c r="S107" s="327"/>
      <c r="T107" s="327"/>
    </row>
    <row r="108" spans="1:20" s="186" customFormat="1" ht="13.5" customHeight="1">
      <c r="A108" s="801"/>
      <c r="B108" s="777"/>
      <c r="C108" s="720"/>
      <c r="D108" s="190"/>
      <c r="E108" s="190"/>
      <c r="F108" s="435">
        <v>1</v>
      </c>
      <c r="G108" s="436">
        <v>1</v>
      </c>
      <c r="H108" s="200" t="s">
        <v>61</v>
      </c>
      <c r="I108" s="220">
        <f t="shared" si="10"/>
        <v>1500000</v>
      </c>
      <c r="J108" s="221">
        <v>1500000</v>
      </c>
      <c r="K108" s="799"/>
      <c r="L108" s="236">
        <f t="shared" si="11"/>
        <v>1304.3478260869565</v>
      </c>
      <c r="M108" s="575">
        <f t="shared" si="12"/>
        <v>1304.3478260869565</v>
      </c>
      <c r="N108" s="190"/>
      <c r="O108" s="373"/>
      <c r="P108" s="200"/>
      <c r="Q108" s="160"/>
      <c r="R108" s="827"/>
      <c r="S108" s="327"/>
      <c r="T108" s="327"/>
    </row>
    <row r="109" spans="1:20" s="186" customFormat="1" ht="13.5" customHeight="1">
      <c r="A109" s="801"/>
      <c r="B109" s="777"/>
      <c r="C109" s="720"/>
      <c r="D109" s="190"/>
      <c r="E109" s="190"/>
      <c r="F109" s="435">
        <v>1</v>
      </c>
      <c r="G109" s="438">
        <v>1</v>
      </c>
      <c r="H109" s="200" t="s">
        <v>61</v>
      </c>
      <c r="I109" s="220">
        <f t="shared" si="10"/>
        <v>1000000</v>
      </c>
      <c r="J109" s="221">
        <v>1000000</v>
      </c>
      <c r="K109" s="799"/>
      <c r="L109" s="236">
        <f t="shared" si="11"/>
        <v>869.5652173913044</v>
      </c>
      <c r="M109" s="575">
        <f t="shared" si="12"/>
        <v>869.5652173913044</v>
      </c>
      <c r="N109" s="190"/>
      <c r="O109" s="373"/>
      <c r="P109" s="200"/>
      <c r="Q109" s="160"/>
      <c r="R109" s="827"/>
      <c r="S109" s="327"/>
      <c r="T109" s="327"/>
    </row>
    <row r="110" spans="1:20" s="186" customFormat="1" ht="13.5" customHeight="1">
      <c r="A110" s="801"/>
      <c r="B110" s="777"/>
      <c r="C110" s="720"/>
      <c r="D110" s="190"/>
      <c r="E110" s="190"/>
      <c r="F110" s="435">
        <v>1</v>
      </c>
      <c r="G110" s="436">
        <v>1</v>
      </c>
      <c r="H110" s="200" t="s">
        <v>61</v>
      </c>
      <c r="I110" s="220">
        <f t="shared" si="10"/>
        <v>1000000</v>
      </c>
      <c r="J110" s="221">
        <v>1000000</v>
      </c>
      <c r="K110" s="799"/>
      <c r="L110" s="236">
        <f t="shared" si="11"/>
        <v>869.5652173913044</v>
      </c>
      <c r="M110" s="575">
        <f t="shared" si="12"/>
        <v>869.5652173913044</v>
      </c>
      <c r="N110" s="190"/>
      <c r="O110" s="373"/>
      <c r="P110" s="200"/>
      <c r="Q110" s="160"/>
      <c r="R110" s="827"/>
      <c r="S110" s="525"/>
      <c r="T110" s="525"/>
    </row>
    <row r="111" spans="1:20" s="186" customFormat="1" ht="13.5" customHeight="1">
      <c r="A111" s="801"/>
      <c r="B111" s="777"/>
      <c r="C111" s="720"/>
      <c r="D111" s="151"/>
      <c r="E111" s="151"/>
      <c r="F111" s="523">
        <v>1</v>
      </c>
      <c r="G111" s="524">
        <v>1</v>
      </c>
      <c r="H111" s="389" t="s">
        <v>61</v>
      </c>
      <c r="I111" s="527">
        <v>5000000</v>
      </c>
      <c r="J111" s="528">
        <f>I111*G111*F111</f>
        <v>5000000</v>
      </c>
      <c r="K111" s="799"/>
      <c r="L111" s="236">
        <f t="shared" si="11"/>
        <v>4347.826086956522</v>
      </c>
      <c r="M111" s="575">
        <f t="shared" si="12"/>
        <v>4347.826086956522</v>
      </c>
      <c r="N111" s="151"/>
      <c r="O111" s="530"/>
      <c r="P111" s="389"/>
      <c r="Q111" s="160"/>
      <c r="R111" s="827"/>
      <c r="S111" s="525"/>
      <c r="T111" s="525"/>
    </row>
    <row r="112" spans="1:20" s="186" customFormat="1" ht="13.5" customHeight="1">
      <c r="A112" s="801"/>
      <c r="B112" s="777"/>
      <c r="C112" s="720"/>
      <c r="D112" s="151"/>
      <c r="E112" s="151"/>
      <c r="F112" s="523">
        <v>1</v>
      </c>
      <c r="G112" s="524">
        <v>1</v>
      </c>
      <c r="H112" s="389" t="s">
        <v>221</v>
      </c>
      <c r="I112" s="527">
        <v>600000</v>
      </c>
      <c r="J112" s="528">
        <f>I112*G112*F112</f>
        <v>600000</v>
      </c>
      <c r="K112" s="799"/>
      <c r="L112" s="529">
        <f t="shared" si="11"/>
        <v>521.7391304347826</v>
      </c>
      <c r="M112" s="576">
        <f t="shared" si="12"/>
        <v>521.7391304347826</v>
      </c>
      <c r="N112" s="151"/>
      <c r="O112" s="530"/>
      <c r="P112" s="389"/>
      <c r="Q112" s="160"/>
      <c r="R112" s="827"/>
      <c r="S112" s="525"/>
      <c r="T112" s="525"/>
    </row>
    <row r="113" spans="1:20" s="186" customFormat="1" ht="12">
      <c r="A113" s="801"/>
      <c r="B113" s="777"/>
      <c r="C113" s="720"/>
      <c r="D113" s="151"/>
      <c r="E113" s="151"/>
      <c r="F113" s="523">
        <v>1</v>
      </c>
      <c r="G113" s="524">
        <v>1</v>
      </c>
      <c r="H113" s="389" t="s">
        <v>221</v>
      </c>
      <c r="I113" s="527">
        <v>8000000</v>
      </c>
      <c r="J113" s="528">
        <f>I113*G113*F113</f>
        <v>8000000</v>
      </c>
      <c r="K113" s="799"/>
      <c r="L113" s="529">
        <f t="shared" si="11"/>
        <v>6956.521739130435</v>
      </c>
      <c r="M113" s="576">
        <f t="shared" si="12"/>
        <v>6956.521739130435</v>
      </c>
      <c r="N113" s="151"/>
      <c r="O113" s="530"/>
      <c r="P113" s="389"/>
      <c r="Q113" s="160"/>
      <c r="R113" s="827"/>
      <c r="S113" s="327"/>
      <c r="T113" s="327"/>
    </row>
    <row r="114" spans="1:20" s="79" customFormat="1" ht="13.5" customHeight="1">
      <c r="A114" s="539" t="s">
        <v>270</v>
      </c>
      <c r="B114" s="540"/>
      <c r="C114" s="540"/>
      <c r="D114" s="537"/>
      <c r="E114" s="537"/>
      <c r="F114" s="537"/>
      <c r="G114" s="537"/>
      <c r="H114" s="538"/>
      <c r="I114" s="712"/>
      <c r="J114" s="713"/>
      <c r="K114" s="768"/>
      <c r="L114" s="768"/>
      <c r="M114" s="768"/>
      <c r="N114" s="768"/>
      <c r="O114" s="768"/>
      <c r="P114" s="768"/>
      <c r="Q114" s="768"/>
      <c r="R114" s="227"/>
      <c r="S114" s="793"/>
      <c r="T114" s="793"/>
    </row>
    <row r="115" spans="1:20" s="107" customFormat="1" ht="26.25" customHeight="1" thickBot="1">
      <c r="A115" s="697" t="s">
        <v>370</v>
      </c>
      <c r="B115" s="582"/>
      <c r="C115" s="582"/>
      <c r="D115" s="540"/>
      <c r="E115" s="949">
        <f>I115/E1</f>
        <v>155600</v>
      </c>
      <c r="F115" s="540"/>
      <c r="G115" s="540"/>
      <c r="H115" s="581"/>
      <c r="I115" s="723">
        <f>SUM(J100:J113)</f>
        <v>155600000</v>
      </c>
      <c r="J115" s="724"/>
      <c r="K115" s="204"/>
      <c r="L115" s="760">
        <f>SUM(M100:M113)</f>
        <v>135304.347826087</v>
      </c>
      <c r="M115" s="761"/>
      <c r="N115" s="205"/>
      <c r="O115" s="753"/>
      <c r="P115" s="754"/>
      <c r="Q115" s="205"/>
      <c r="R115" s="204"/>
      <c r="S115" s="793"/>
      <c r="T115" s="793"/>
    </row>
    <row r="116" spans="4:20" s="79" customFormat="1" ht="13.5" customHeight="1" thickBot="1">
      <c r="D116" s="582"/>
      <c r="E116" s="582"/>
      <c r="F116" s="582"/>
      <c r="G116" s="582"/>
      <c r="H116" s="583"/>
      <c r="I116" s="794">
        <f>I115</f>
        <v>155600000</v>
      </c>
      <c r="J116" s="795"/>
      <c r="K116" s="117"/>
      <c r="L116" s="832">
        <f>L115</f>
        <v>135304.347826087</v>
      </c>
      <c r="M116" s="833"/>
      <c r="N116" s="117"/>
      <c r="O116" s="117"/>
      <c r="P116" s="117"/>
      <c r="Q116" s="118"/>
      <c r="R116" s="134"/>
      <c r="S116" s="793"/>
      <c r="T116" s="793"/>
    </row>
    <row r="117" spans="1:18" ht="13.5" customHeight="1">
      <c r="A117" s="718" t="s">
        <v>244</v>
      </c>
      <c r="B117" s="800" t="s">
        <v>233</v>
      </c>
      <c r="C117" s="718" t="s">
        <v>232</v>
      </c>
      <c r="E117" s="79"/>
      <c r="F117" s="79"/>
      <c r="G117" s="338"/>
      <c r="H117" s="79"/>
      <c r="I117" s="400"/>
      <c r="J117" s="79"/>
      <c r="K117" s="79"/>
      <c r="L117" s="120"/>
      <c r="M117" s="565"/>
      <c r="N117" s="120"/>
      <c r="O117" s="79"/>
      <c r="P117" s="107"/>
      <c r="Q117" s="79"/>
      <c r="R117" s="79"/>
    </row>
    <row r="118" spans="1:18" s="186" customFormat="1" ht="13.5" customHeight="1">
      <c r="A118" s="720"/>
      <c r="B118" s="801"/>
      <c r="C118" s="720"/>
      <c r="D118" s="269"/>
      <c r="E118" s="269"/>
      <c r="F118" s="295"/>
      <c r="G118" s="339"/>
      <c r="H118" s="278"/>
      <c r="I118" s="458"/>
      <c r="J118" s="426"/>
      <c r="K118" s="124"/>
      <c r="L118" s="383"/>
      <c r="M118" s="559"/>
      <c r="N118" s="124"/>
      <c r="O118" s="714"/>
      <c r="P118" s="715"/>
      <c r="Q118" s="269"/>
      <c r="R118" s="836" t="s">
        <v>375</v>
      </c>
    </row>
    <row r="119" spans="1:18" s="186" customFormat="1" ht="13.5" customHeight="1">
      <c r="A119" s="720"/>
      <c r="B119" s="801"/>
      <c r="C119" s="720"/>
      <c r="D119" s="160"/>
      <c r="E119" s="160"/>
      <c r="F119" s="244"/>
      <c r="G119" s="346"/>
      <c r="H119" s="275"/>
      <c r="I119" s="408"/>
      <c r="J119" s="108"/>
      <c r="K119" s="162"/>
      <c r="L119" s="236"/>
      <c r="M119" s="572"/>
      <c r="N119" s="162"/>
      <c r="O119" s="274"/>
      <c r="P119" s="275"/>
      <c r="Q119" s="160"/>
      <c r="R119" s="837"/>
    </row>
    <row r="120" spans="1:18" s="186" customFormat="1" ht="13.5" customHeight="1">
      <c r="A120" s="720"/>
      <c r="B120" s="801"/>
      <c r="C120" s="720"/>
      <c r="D120" s="160"/>
      <c r="E120" s="270"/>
      <c r="F120" s="199"/>
      <c r="G120" s="334"/>
      <c r="H120" s="277"/>
      <c r="I120" s="408"/>
      <c r="J120" s="108"/>
      <c r="K120" s="190"/>
      <c r="L120" s="236"/>
      <c r="M120" s="572"/>
      <c r="N120" s="190"/>
      <c r="O120" s="276"/>
      <c r="P120" s="277"/>
      <c r="Q120" s="270"/>
      <c r="R120" s="837"/>
    </row>
    <row r="121" spans="1:18" s="186" customFormat="1" ht="13.5" customHeight="1">
      <c r="A121" s="720"/>
      <c r="B121" s="801"/>
      <c r="C121" s="720"/>
      <c r="D121" s="298"/>
      <c r="E121" s="270"/>
      <c r="F121" s="199"/>
      <c r="G121" s="334"/>
      <c r="H121" s="277"/>
      <c r="I121" s="408"/>
      <c r="J121" s="108"/>
      <c r="K121" s="190"/>
      <c r="L121" s="236"/>
      <c r="M121" s="572"/>
      <c r="N121" s="190"/>
      <c r="O121" s="276"/>
      <c r="P121" s="277"/>
      <c r="Q121" s="270"/>
      <c r="R121" s="837"/>
    </row>
    <row r="122" spans="1:18" s="186" customFormat="1" ht="13.5" customHeight="1">
      <c r="A122" s="720"/>
      <c r="B122" s="801"/>
      <c r="C122" s="720"/>
      <c r="D122" s="298"/>
      <c r="E122" s="270"/>
      <c r="F122" s="199"/>
      <c r="G122" s="334"/>
      <c r="H122" s="328"/>
      <c r="I122" s="408"/>
      <c r="J122" s="108"/>
      <c r="K122" s="190"/>
      <c r="L122" s="236"/>
      <c r="M122" s="572"/>
      <c r="N122" s="190"/>
      <c r="O122" s="276"/>
      <c r="P122" s="277"/>
      <c r="Q122" s="270"/>
      <c r="R122" s="837"/>
    </row>
    <row r="123" spans="1:18" s="186" customFormat="1" ht="13.5" customHeight="1">
      <c r="A123" s="720"/>
      <c r="B123" s="801"/>
      <c r="C123" s="719"/>
      <c r="D123" s="270"/>
      <c r="E123" s="270"/>
      <c r="F123" s="199"/>
      <c r="G123" s="334"/>
      <c r="H123" s="328"/>
      <c r="I123" s="404"/>
      <c r="J123" s="195"/>
      <c r="K123" s="190"/>
      <c r="L123" s="236"/>
      <c r="M123" s="572"/>
      <c r="N123" s="190"/>
      <c r="O123" s="276"/>
      <c r="P123" s="277"/>
      <c r="Q123" s="270"/>
      <c r="R123" s="837"/>
    </row>
    <row r="124" spans="1:18" s="186" customFormat="1" ht="13.5" customHeight="1">
      <c r="A124" s="720"/>
      <c r="B124" s="801"/>
      <c r="C124" s="541" t="s">
        <v>228</v>
      </c>
      <c r="D124" s="208"/>
      <c r="E124" s="208"/>
      <c r="F124" s="217"/>
      <c r="G124" s="337"/>
      <c r="H124" s="280"/>
      <c r="I124" s="402"/>
      <c r="J124" s="211"/>
      <c r="K124" s="212"/>
      <c r="L124" s="237"/>
      <c r="M124" s="564"/>
      <c r="N124" s="212"/>
      <c r="O124" s="279"/>
      <c r="P124" s="280"/>
      <c r="Q124" s="208"/>
      <c r="R124" s="838"/>
    </row>
    <row r="125" spans="1:18" s="186" customFormat="1" ht="1.5" customHeight="1">
      <c r="A125" s="720"/>
      <c r="B125" s="801"/>
      <c r="C125" s="541"/>
      <c r="D125" s="542"/>
      <c r="E125" s="542"/>
      <c r="F125" s="542"/>
      <c r="G125" s="542"/>
      <c r="H125" s="543"/>
      <c r="I125" s="712">
        <f>SUM(J118:J123)</f>
        <v>0</v>
      </c>
      <c r="J125" s="713"/>
      <c r="K125" s="227"/>
      <c r="L125" s="712">
        <f>I125/O1</f>
        <v>0</v>
      </c>
      <c r="M125" s="713"/>
      <c r="N125" s="227"/>
      <c r="O125" s="716"/>
      <c r="P125" s="717"/>
      <c r="Q125" s="227"/>
      <c r="R125" s="167"/>
    </row>
    <row r="126" spans="1:18" s="186" customFormat="1" ht="13.5" customHeight="1">
      <c r="A126" s="720"/>
      <c r="B126" s="801"/>
      <c r="C126" s="718" t="s">
        <v>245</v>
      </c>
      <c r="D126" s="542"/>
      <c r="E126" s="542"/>
      <c r="F126" s="542"/>
      <c r="G126" s="542"/>
      <c r="H126" s="543"/>
      <c r="I126" s="712"/>
      <c r="J126" s="713"/>
      <c r="K126" s="716"/>
      <c r="L126" s="765"/>
      <c r="M126" s="765"/>
      <c r="N126" s="765"/>
      <c r="O126" s="765"/>
      <c r="P126" s="765"/>
      <c r="Q126" s="717"/>
      <c r="R126" s="227"/>
    </row>
    <row r="127" spans="1:18" s="186" customFormat="1" ht="13.5" customHeight="1">
      <c r="A127" s="720"/>
      <c r="B127" s="801"/>
      <c r="C127" s="720"/>
      <c r="D127" s="193"/>
      <c r="E127" s="193"/>
      <c r="F127" s="207"/>
      <c r="G127" s="339"/>
      <c r="H127" s="300"/>
      <c r="I127" s="404"/>
      <c r="J127" s="206">
        <f>I127*G127</f>
        <v>0</v>
      </c>
      <c r="K127" s="190"/>
      <c r="L127" s="236">
        <f>I127/$O$1</f>
        <v>0</v>
      </c>
      <c r="M127" s="559">
        <f>L127*G127</f>
        <v>0</v>
      </c>
      <c r="N127" s="190"/>
      <c r="O127" s="194"/>
      <c r="P127" s="192"/>
      <c r="Q127" s="193"/>
      <c r="R127" s="243"/>
    </row>
    <row r="128" spans="1:18" s="186" customFormat="1" ht="13.5" customHeight="1">
      <c r="A128" s="720"/>
      <c r="B128" s="801"/>
      <c r="C128" s="719"/>
      <c r="D128" s="193"/>
      <c r="E128" s="193"/>
      <c r="F128" s="199"/>
      <c r="G128" s="334"/>
      <c r="H128" s="299"/>
      <c r="I128" s="404"/>
      <c r="J128" s="195"/>
      <c r="K128" s="190"/>
      <c r="L128" s="236"/>
      <c r="M128" s="567"/>
      <c r="N128" s="190"/>
      <c r="O128" s="194"/>
      <c r="P128" s="192"/>
      <c r="Q128" s="193"/>
      <c r="R128" s="243"/>
    </row>
    <row r="129" spans="1:18" s="186" customFormat="1" ht="13.5" customHeight="1">
      <c r="A129" s="720"/>
      <c r="B129" s="801"/>
      <c r="C129" s="541" t="s">
        <v>228</v>
      </c>
      <c r="D129" s="208"/>
      <c r="E129" s="208"/>
      <c r="F129" s="217"/>
      <c r="G129" s="337"/>
      <c r="H129" s="301"/>
      <c r="I129" s="402"/>
      <c r="J129" s="211"/>
      <c r="K129" s="212"/>
      <c r="L129" s="237"/>
      <c r="M129" s="564"/>
      <c r="N129" s="212"/>
      <c r="O129" s="213"/>
      <c r="P129" s="214"/>
      <c r="Q129" s="208"/>
      <c r="R129" s="243"/>
    </row>
    <row r="130" spans="1:18" s="186" customFormat="1" ht="1.5" customHeight="1">
      <c r="A130" s="720"/>
      <c r="B130" s="801"/>
      <c r="C130" s="290"/>
      <c r="D130" s="542"/>
      <c r="E130" s="542"/>
      <c r="F130" s="542"/>
      <c r="G130" s="542"/>
      <c r="H130" s="543"/>
      <c r="I130" s="712">
        <f>SUM(J127:J129)</f>
        <v>0</v>
      </c>
      <c r="J130" s="713"/>
      <c r="K130" s="226"/>
      <c r="L130" s="712">
        <f>SUM(M127:M129)</f>
        <v>0</v>
      </c>
      <c r="M130" s="713"/>
      <c r="N130" s="226"/>
      <c r="O130" s="716"/>
      <c r="P130" s="717"/>
      <c r="Q130" s="226"/>
      <c r="R130" s="167"/>
    </row>
    <row r="131" spans="1:18" s="186" customFormat="1" ht="13.5" customHeight="1">
      <c r="A131" s="720"/>
      <c r="B131" s="801"/>
      <c r="C131" s="718" t="s">
        <v>246</v>
      </c>
      <c r="D131" s="290"/>
      <c r="E131" s="290"/>
      <c r="F131" s="290"/>
      <c r="G131" s="347"/>
      <c r="H131" s="291"/>
      <c r="I131" s="412"/>
      <c r="J131" s="293"/>
      <c r="K131" s="203"/>
      <c r="L131" s="292"/>
      <c r="M131" s="577"/>
      <c r="N131" s="203"/>
      <c r="O131" s="294"/>
      <c r="P131" s="273"/>
      <c r="Q131" s="203"/>
      <c r="R131" s="272"/>
    </row>
    <row r="132" spans="1:18" s="186" customFormat="1" ht="13.5" customHeight="1">
      <c r="A132" s="720"/>
      <c r="B132" s="801"/>
      <c r="C132" s="719"/>
      <c r="D132" s="137" t="s">
        <v>288</v>
      </c>
      <c r="E132" s="137"/>
      <c r="F132" s="122">
        <v>1</v>
      </c>
      <c r="G132" s="339">
        <f>E1</f>
        <v>1000</v>
      </c>
      <c r="H132" s="329" t="s">
        <v>289</v>
      </c>
      <c r="I132" s="410">
        <v>3800</v>
      </c>
      <c r="J132" s="206">
        <f>I132*F132*G132</f>
        <v>3800000</v>
      </c>
      <c r="K132" s="297"/>
      <c r="L132" s="236">
        <f>I132/O1</f>
        <v>3.3043478260869565</v>
      </c>
      <c r="M132" s="559">
        <f>L132*F132*G132</f>
        <v>3304.3478260869565</v>
      </c>
      <c r="N132" s="297"/>
      <c r="O132" s="830"/>
      <c r="P132" s="831"/>
      <c r="Q132" s="297"/>
      <c r="R132" s="826"/>
    </row>
    <row r="133" spans="1:18" s="186" customFormat="1" ht="13.5" customHeight="1">
      <c r="A133" s="720"/>
      <c r="B133" s="801"/>
      <c r="D133" s="308"/>
      <c r="E133" s="308"/>
      <c r="F133" s="209"/>
      <c r="G133" s="337"/>
      <c r="H133" s="330"/>
      <c r="I133" s="411"/>
      <c r="J133" s="211"/>
      <c r="K133" s="208"/>
      <c r="L133" s="237"/>
      <c r="M133" s="564"/>
      <c r="N133" s="208"/>
      <c r="O133" s="828"/>
      <c r="P133" s="829"/>
      <c r="Q133" s="208"/>
      <c r="R133" s="827"/>
    </row>
    <row r="134" spans="1:18" s="186" customFormat="1" ht="13.5" customHeight="1">
      <c r="A134" s="720"/>
      <c r="B134" s="859"/>
      <c r="C134" s="541" t="s">
        <v>228</v>
      </c>
      <c r="D134" s="542"/>
      <c r="E134" s="542"/>
      <c r="F134" s="542"/>
      <c r="G134" s="542"/>
      <c r="H134" s="543"/>
      <c r="I134" s="860">
        <f>SUM(J130:J133)</f>
        <v>3800000</v>
      </c>
      <c r="J134" s="861"/>
      <c r="K134" s="460"/>
      <c r="L134" s="845">
        <f>SUM(M131:M133)</f>
        <v>3304.3478260869565</v>
      </c>
      <c r="M134" s="759"/>
      <c r="N134" s="461"/>
      <c r="O134" s="766"/>
      <c r="P134" s="767"/>
      <c r="Q134" s="461"/>
      <c r="R134" s="204"/>
    </row>
    <row r="135" spans="1:18" ht="13.5" customHeight="1">
      <c r="A135" s="551" t="s">
        <v>248</v>
      </c>
      <c r="B135" s="552"/>
      <c r="C135" s="552"/>
      <c r="D135" s="266"/>
      <c r="E135" s="266"/>
      <c r="F135" s="266"/>
      <c r="G135" s="348"/>
      <c r="H135" s="267"/>
      <c r="I135" s="413"/>
      <c r="J135" s="256"/>
      <c r="K135" s="204"/>
      <c r="L135" s="260"/>
      <c r="M135" s="578"/>
      <c r="N135" s="261"/>
      <c r="O135" s="261"/>
      <c r="P135" s="262"/>
      <c r="Q135" s="261"/>
      <c r="R135" s="204"/>
    </row>
    <row r="136" spans="1:18" ht="26.25" customHeight="1" thickBot="1">
      <c r="A136" s="535" t="s">
        <v>247</v>
      </c>
      <c r="B136" s="536"/>
      <c r="C136" s="536"/>
      <c r="D136" s="552"/>
      <c r="E136" s="552"/>
      <c r="F136" s="552"/>
      <c r="G136" s="552"/>
      <c r="H136" s="553"/>
      <c r="I136" s="738">
        <f>I134+I130+I125</f>
        <v>3800000</v>
      </c>
      <c r="J136" s="739"/>
      <c r="K136" s="204"/>
      <c r="L136" s="738">
        <f>L125+L130+L134</f>
        <v>3304.3478260869565</v>
      </c>
      <c r="M136" s="739"/>
      <c r="N136" s="205"/>
      <c r="O136" s="753"/>
      <c r="P136" s="754"/>
      <c r="Q136" s="205"/>
      <c r="R136" s="204"/>
    </row>
    <row r="137" spans="4:18" ht="18" thickBot="1">
      <c r="D137" s="632"/>
      <c r="E137" s="632"/>
      <c r="F137" s="632"/>
      <c r="G137" s="632"/>
      <c r="H137" s="633"/>
      <c r="I137" s="736">
        <f>I136</f>
        <v>3800000</v>
      </c>
      <c r="J137" s="737"/>
      <c r="K137" s="634"/>
      <c r="L137" s="734">
        <f>L125+L130+L134</f>
        <v>3304.3478260869565</v>
      </c>
      <c r="M137" s="735"/>
      <c r="N137" s="634"/>
      <c r="O137" s="634"/>
      <c r="P137" s="634"/>
      <c r="Q137" s="635"/>
      <c r="R137" s="636"/>
    </row>
    <row r="138" spans="1:18" s="186" customFormat="1" ht="17.25">
      <c r="A138" s="701" t="s">
        <v>335</v>
      </c>
      <c r="B138" s="701" t="s">
        <v>336</v>
      </c>
      <c r="C138" s="204" t="s">
        <v>337</v>
      </c>
      <c r="D138" s="637" t="s">
        <v>338</v>
      </c>
      <c r="E138" s="638"/>
      <c r="F138" s="637"/>
      <c r="G138" s="637">
        <v>1</v>
      </c>
      <c r="H138" s="637" t="s">
        <v>221</v>
      </c>
      <c r="I138" s="641">
        <v>4000000</v>
      </c>
      <c r="J138" s="641">
        <f>I138*G138</f>
        <v>4000000</v>
      </c>
      <c r="K138" s="637"/>
      <c r="L138" s="642">
        <f>I138/$O$1</f>
        <v>3478.2608695652175</v>
      </c>
      <c r="M138" s="642">
        <f>L138*G138</f>
        <v>3478.2608695652175</v>
      </c>
      <c r="N138" s="637"/>
      <c r="O138" s="637"/>
      <c r="P138" s="637"/>
      <c r="Q138" s="637"/>
      <c r="R138" s="585"/>
    </row>
    <row r="139" spans="1:18" s="186" customFormat="1" ht="17.25">
      <c r="A139" s="702"/>
      <c r="B139" s="702"/>
      <c r="C139" s="640"/>
      <c r="D139" s="637" t="s">
        <v>339</v>
      </c>
      <c r="E139" s="638"/>
      <c r="F139" s="637"/>
      <c r="G139" s="637">
        <v>1</v>
      </c>
      <c r="H139" s="637" t="s">
        <v>221</v>
      </c>
      <c r="I139" s="639">
        <v>5600000</v>
      </c>
      <c r="J139" s="639">
        <f>I139*G139</f>
        <v>5600000</v>
      </c>
      <c r="K139" s="637"/>
      <c r="L139" s="642">
        <f>I139/$O$1</f>
        <v>4869.565217391304</v>
      </c>
      <c r="M139" s="642">
        <f>L139*G139</f>
        <v>4869.565217391304</v>
      </c>
      <c r="N139" s="637"/>
      <c r="O139" s="637"/>
      <c r="P139" s="637"/>
      <c r="Q139" s="637"/>
      <c r="R139" s="585"/>
    </row>
    <row r="140" spans="1:18" s="186" customFormat="1" ht="17.25">
      <c r="A140" s="702"/>
      <c r="B140" s="702"/>
      <c r="C140" s="640"/>
      <c r="D140" s="637" t="s">
        <v>363</v>
      </c>
      <c r="E140" s="638"/>
      <c r="F140" s="637"/>
      <c r="G140" s="637">
        <v>1</v>
      </c>
      <c r="H140" s="637" t="s">
        <v>221</v>
      </c>
      <c r="I140" s="643">
        <v>2000000</v>
      </c>
      <c r="J140" s="643">
        <f>I140*G140</f>
        <v>2000000</v>
      </c>
      <c r="K140" s="637"/>
      <c r="L140" s="642">
        <f>I140/$O$1</f>
        <v>1739.1304347826087</v>
      </c>
      <c r="M140" s="642">
        <f>L140*G140</f>
        <v>1739.1304347826087</v>
      </c>
      <c r="N140" s="637"/>
      <c r="O140" s="637"/>
      <c r="P140" s="637"/>
      <c r="Q140" s="637"/>
      <c r="R140" s="682"/>
    </row>
    <row r="141" spans="1:18" s="186" customFormat="1" ht="17.25">
      <c r="A141" s="702"/>
      <c r="B141" s="702"/>
      <c r="C141" s="640"/>
      <c r="D141" s="637" t="s">
        <v>362</v>
      </c>
      <c r="E141" s="638"/>
      <c r="F141" s="637"/>
      <c r="G141" s="637">
        <v>1</v>
      </c>
      <c r="H141" s="637" t="s">
        <v>221</v>
      </c>
      <c r="I141" s="643">
        <v>8600000</v>
      </c>
      <c r="J141" s="643">
        <f>I141*G141</f>
        <v>8600000</v>
      </c>
      <c r="K141" s="637"/>
      <c r="L141" s="690">
        <f>I141/$O$1</f>
        <v>7478.260869565217</v>
      </c>
      <c r="M141" s="690">
        <f>L141*G141</f>
        <v>7478.260869565217</v>
      </c>
      <c r="N141" s="637"/>
      <c r="O141" s="637"/>
      <c r="P141" s="637"/>
      <c r="Q141" s="637"/>
      <c r="R141" s="585"/>
    </row>
    <row r="142" spans="1:18" s="186" customFormat="1" ht="17.25">
      <c r="A142" s="702"/>
      <c r="B142" s="702"/>
      <c r="C142" s="442"/>
      <c r="D142" s="683" t="s">
        <v>373</v>
      </c>
      <c r="E142" s="684"/>
      <c r="F142" s="683"/>
      <c r="G142" s="683"/>
      <c r="H142" s="685"/>
      <c r="I142" s="686"/>
      <c r="J142" s="687"/>
      <c r="K142" s="688"/>
      <c r="L142" s="690"/>
      <c r="M142" s="690"/>
      <c r="N142" s="689"/>
      <c r="O142" s="683"/>
      <c r="P142" s="683"/>
      <c r="Q142" s="683"/>
      <c r="R142" s="636"/>
    </row>
    <row r="143" spans="1:18" s="186" customFormat="1" ht="17.25">
      <c r="A143" s="702"/>
      <c r="B143" s="702"/>
      <c r="C143" s="442"/>
      <c r="D143" s="683" t="s">
        <v>374</v>
      </c>
      <c r="E143" s="684"/>
      <c r="F143" s="683"/>
      <c r="G143" s="683"/>
      <c r="H143" s="685"/>
      <c r="I143" s="686"/>
      <c r="J143" s="687"/>
      <c r="K143" s="688"/>
      <c r="L143" s="690"/>
      <c r="M143" s="690"/>
      <c r="N143" s="689"/>
      <c r="O143" s="683"/>
      <c r="P143" s="683"/>
      <c r="Q143" s="683"/>
      <c r="R143" s="636"/>
    </row>
    <row r="144" spans="1:18" s="186" customFormat="1" ht="17.25">
      <c r="A144" s="702"/>
      <c r="B144" s="702"/>
      <c r="C144" s="442"/>
      <c r="D144" s="683" t="s">
        <v>372</v>
      </c>
      <c r="E144" s="684"/>
      <c r="F144" s="683"/>
      <c r="G144" s="683"/>
      <c r="H144" s="685"/>
      <c r="I144" s="686"/>
      <c r="J144" s="687"/>
      <c r="K144" s="688"/>
      <c r="L144" s="690"/>
      <c r="M144" s="690"/>
      <c r="N144" s="689"/>
      <c r="O144" s="683"/>
      <c r="P144" s="683"/>
      <c r="Q144" s="683"/>
      <c r="R144" s="636"/>
    </row>
    <row r="145" spans="1:18" s="186" customFormat="1" ht="17.25">
      <c r="A145" s="703"/>
      <c r="B145" s="703"/>
      <c r="C145" s="442"/>
      <c r="D145" s="683" t="s">
        <v>371</v>
      </c>
      <c r="E145" s="684"/>
      <c r="F145" s="683"/>
      <c r="G145" s="683"/>
      <c r="H145" s="685"/>
      <c r="I145" s="686"/>
      <c r="J145" s="687"/>
      <c r="K145" s="688"/>
      <c r="L145" s="690"/>
      <c r="M145" s="690"/>
      <c r="N145" s="689"/>
      <c r="O145" s="683"/>
      <c r="P145" s="683"/>
      <c r="Q145" s="683"/>
      <c r="R145" s="636"/>
    </row>
    <row r="146" spans="1:18" s="186" customFormat="1" ht="18" thickBot="1">
      <c r="A146" s="644"/>
      <c r="B146" s="644"/>
      <c r="C146" s="645" t="s">
        <v>228</v>
      </c>
      <c r="D146" s="646"/>
      <c r="E146" s="646"/>
      <c r="F146" s="647"/>
      <c r="G146" s="647"/>
      <c r="H146" s="648"/>
      <c r="I146" s="730">
        <f>SUM(J138:J141)</f>
        <v>20200000</v>
      </c>
      <c r="J146" s="731"/>
      <c r="K146" s="649"/>
      <c r="L146" s="728">
        <f>SUM(M138:M141)</f>
        <v>17565.217391304348</v>
      </c>
      <c r="M146" s="729"/>
      <c r="N146" s="650"/>
      <c r="O146" s="647"/>
      <c r="P146" s="647"/>
      <c r="Q146" s="647"/>
      <c r="R146" s="651"/>
    </row>
    <row r="147" spans="1:18" s="186" customFormat="1" ht="18.75" thickBot="1" thickTop="1">
      <c r="A147" s="698" t="s">
        <v>343</v>
      </c>
      <c r="B147" s="699"/>
      <c r="C147" s="699"/>
      <c r="D147" s="699"/>
      <c r="E147" s="699"/>
      <c r="F147" s="699"/>
      <c r="G147" s="699"/>
      <c r="H147" s="700"/>
      <c r="I147" s="732">
        <f>SUM(J138:J141)</f>
        <v>20200000</v>
      </c>
      <c r="J147" s="733"/>
      <c r="K147" s="649"/>
      <c r="L147" s="740">
        <f>SUM(M138:M141)</f>
        <v>17565.217391304348</v>
      </c>
      <c r="M147" s="741"/>
      <c r="N147" s="650"/>
      <c r="O147" s="647"/>
      <c r="P147" s="647"/>
      <c r="Q147" s="647"/>
      <c r="R147" s="651"/>
    </row>
    <row r="148" spans="3:17" ht="27.75" thickBot="1" thickTop="1">
      <c r="C148" s="584" t="s">
        <v>303</v>
      </c>
      <c r="F148" s="626"/>
      <c r="G148" s="627"/>
      <c r="H148" s="533"/>
      <c r="I148" s="628"/>
      <c r="J148" s="629"/>
      <c r="K148" s="630"/>
      <c r="L148" s="630"/>
      <c r="M148" s="631"/>
      <c r="N148" s="630"/>
      <c r="O148" s="533"/>
      <c r="P148" s="533"/>
      <c r="Q148" s="533"/>
    </row>
    <row r="149" spans="1:5" ht="26.25" customHeight="1">
      <c r="A149" s="868" t="s">
        <v>306</v>
      </c>
      <c r="B149" s="869"/>
      <c r="C149" s="725" t="s">
        <v>308</v>
      </c>
      <c r="D149" s="726"/>
      <c r="E149" s="727"/>
    </row>
    <row r="150" spans="1:5" ht="13.5">
      <c r="A150" s="694"/>
      <c r="B150" s="695"/>
      <c r="C150" s="704" t="s">
        <v>307</v>
      </c>
      <c r="D150" s="705"/>
      <c r="E150" s="706"/>
    </row>
    <row r="151" spans="1:5" ht="13.5">
      <c r="A151" s="721" t="s">
        <v>302</v>
      </c>
      <c r="B151" s="870"/>
      <c r="C151" s="704" t="s">
        <v>304</v>
      </c>
      <c r="D151" s="705"/>
      <c r="E151" s="706"/>
    </row>
    <row r="152" spans="1:5" ht="13.5">
      <c r="A152" s="694"/>
      <c r="B152" s="695"/>
      <c r="C152" s="704" t="s">
        <v>305</v>
      </c>
      <c r="D152" s="705"/>
      <c r="E152" s="706"/>
    </row>
    <row r="153" spans="1:5" ht="13.5">
      <c r="A153" s="694"/>
      <c r="B153" s="695"/>
      <c r="C153" s="704" t="s">
        <v>309</v>
      </c>
      <c r="D153" s="705"/>
      <c r="E153" s="706"/>
    </row>
    <row r="154" spans="1:5" ht="13.5">
      <c r="A154" s="721" t="s">
        <v>313</v>
      </c>
      <c r="B154" s="722"/>
      <c r="C154" s="707" t="s">
        <v>314</v>
      </c>
      <c r="D154" s="708"/>
      <c r="E154" s="709"/>
    </row>
    <row r="155" spans="1:5" ht="12">
      <c r="A155" s="696"/>
      <c r="B155" s="114"/>
      <c r="C155" s="707" t="s">
        <v>315</v>
      </c>
      <c r="D155" s="708"/>
      <c r="E155" s="709"/>
    </row>
    <row r="156" spans="1:5" ht="13.5">
      <c r="A156" s="721" t="s">
        <v>319</v>
      </c>
      <c r="B156" s="722"/>
      <c r="C156" s="707" t="s">
        <v>320</v>
      </c>
      <c r="D156" s="708"/>
      <c r="E156" s="709"/>
    </row>
    <row r="157" spans="1:5" ht="13.5">
      <c r="A157" s="721" t="s">
        <v>322</v>
      </c>
      <c r="B157" s="722"/>
      <c r="C157" s="707" t="s">
        <v>323</v>
      </c>
      <c r="D157" s="708"/>
      <c r="E157" s="709"/>
    </row>
    <row r="158" spans="1:5" ht="12">
      <c r="A158" s="710">
        <v>42415</v>
      </c>
      <c r="B158" s="711"/>
      <c r="C158" s="707" t="s">
        <v>324</v>
      </c>
      <c r="D158" s="708"/>
      <c r="E158" s="709"/>
    </row>
    <row r="159" spans="1:5" ht="12">
      <c r="A159" s="710">
        <v>42416</v>
      </c>
      <c r="B159" s="711"/>
      <c r="C159" s="707" t="s">
        <v>348</v>
      </c>
      <c r="D159" s="708"/>
      <c r="E159" s="709"/>
    </row>
    <row r="160" spans="1:5" ht="12.75" thickBot="1">
      <c r="A160" s="863">
        <v>42417</v>
      </c>
      <c r="B160" s="864"/>
      <c r="C160" s="865" t="s">
        <v>364</v>
      </c>
      <c r="D160" s="866"/>
      <c r="E160" s="867"/>
    </row>
  </sheetData>
  <sheetProtection/>
  <mergeCells count="144">
    <mergeCell ref="A160:B160"/>
    <mergeCell ref="C160:E160"/>
    <mergeCell ref="A159:B159"/>
    <mergeCell ref="C159:E159"/>
    <mergeCell ref="A149:B149"/>
    <mergeCell ref="A151:B151"/>
    <mergeCell ref="A154:B154"/>
    <mergeCell ref="A156:B156"/>
    <mergeCell ref="C156:E156"/>
    <mergeCell ref="C157:E157"/>
    <mergeCell ref="I105:I106"/>
    <mergeCell ref="A117:A134"/>
    <mergeCell ref="I136:J136"/>
    <mergeCell ref="C63:H63"/>
    <mergeCell ref="G98:H98"/>
    <mergeCell ref="B117:B134"/>
    <mergeCell ref="I134:J134"/>
    <mergeCell ref="C75:C78"/>
    <mergeCell ref="A20:A72"/>
    <mergeCell ref="C81:C85"/>
    <mergeCell ref="B4:B17"/>
    <mergeCell ref="I130:J130"/>
    <mergeCell ref="O136:P136"/>
    <mergeCell ref="L130:M130"/>
    <mergeCell ref="L134:M134"/>
    <mergeCell ref="J105:J106"/>
    <mergeCell ref="L105:L106"/>
    <mergeCell ref="B75:B95"/>
    <mergeCell ref="O67:P67"/>
    <mergeCell ref="C4:C15"/>
    <mergeCell ref="R100:R113"/>
    <mergeCell ref="L87:M87"/>
    <mergeCell ref="O87:P87"/>
    <mergeCell ref="K114:Q114"/>
    <mergeCell ref="L125:M125"/>
    <mergeCell ref="C117:C123"/>
    <mergeCell ref="C99:C113"/>
    <mergeCell ref="F105:F106"/>
    <mergeCell ref="I116:J116"/>
    <mergeCell ref="I125:J125"/>
    <mergeCell ref="R132:R133"/>
    <mergeCell ref="O133:P133"/>
    <mergeCell ref="O132:P132"/>
    <mergeCell ref="I97:J97"/>
    <mergeCell ref="L98:M98"/>
    <mergeCell ref="L116:M116"/>
    <mergeCell ref="O130:P130"/>
    <mergeCell ref="M105:M106"/>
    <mergeCell ref="R118:R124"/>
    <mergeCell ref="L97:M97"/>
    <mergeCell ref="L95:M95"/>
    <mergeCell ref="O95:P95"/>
    <mergeCell ref="L73:M73"/>
    <mergeCell ref="O73:P73"/>
    <mergeCell ref="I67:J67"/>
    <mergeCell ref="G73:H73"/>
    <mergeCell ref="I87:J87"/>
    <mergeCell ref="I80:J80"/>
    <mergeCell ref="O16:P16"/>
    <mergeCell ref="C16:H16"/>
    <mergeCell ref="C20:C62"/>
    <mergeCell ref="G18:H18"/>
    <mergeCell ref="L63:M63"/>
    <mergeCell ref="C69:C70"/>
    <mergeCell ref="I16:J16"/>
    <mergeCell ref="C17:H17"/>
    <mergeCell ref="I17:J17"/>
    <mergeCell ref="K64:Q64"/>
    <mergeCell ref="O63:P63"/>
    <mergeCell ref="O71:P71"/>
    <mergeCell ref="K17:Q17"/>
    <mergeCell ref="C65:C66"/>
    <mergeCell ref="L71:M71"/>
    <mergeCell ref="K72:Q72"/>
    <mergeCell ref="O70:P70"/>
    <mergeCell ref="C67:H67"/>
    <mergeCell ref="C71:H71"/>
    <mergeCell ref="L67:M67"/>
    <mergeCell ref="A4:A17"/>
    <mergeCell ref="S114:T116"/>
    <mergeCell ref="I98:J98"/>
    <mergeCell ref="O115:P115"/>
    <mergeCell ref="I95:J95"/>
    <mergeCell ref="K100:K113"/>
    <mergeCell ref="O97:P97"/>
    <mergeCell ref="O69:P69"/>
    <mergeCell ref="A99:A113"/>
    <mergeCell ref="I88:J88"/>
    <mergeCell ref="G3:H3"/>
    <mergeCell ref="B20:B72"/>
    <mergeCell ref="B99:B113"/>
    <mergeCell ref="G105:G106"/>
    <mergeCell ref="H105:H106"/>
    <mergeCell ref="G97:H97"/>
    <mergeCell ref="C88:C93"/>
    <mergeCell ref="A73:E73"/>
    <mergeCell ref="A75:A95"/>
    <mergeCell ref="A18:E18"/>
    <mergeCell ref="L115:M115"/>
    <mergeCell ref="I63:J63"/>
    <mergeCell ref="L80:M80"/>
    <mergeCell ref="K126:Q126"/>
    <mergeCell ref="O134:P134"/>
    <mergeCell ref="K88:Q88"/>
    <mergeCell ref="O80:P80"/>
    <mergeCell ref="I71:J71"/>
    <mergeCell ref="I73:J73"/>
    <mergeCell ref="I114:J114"/>
    <mergeCell ref="L1:M1"/>
    <mergeCell ref="O1:Q1"/>
    <mergeCell ref="I2:K2"/>
    <mergeCell ref="L2:N2"/>
    <mergeCell ref="L18:M18"/>
    <mergeCell ref="I18:J18"/>
    <mergeCell ref="O3:P3"/>
    <mergeCell ref="O18:P18"/>
    <mergeCell ref="K4:K15"/>
    <mergeCell ref="L16:M16"/>
    <mergeCell ref="I115:J115"/>
    <mergeCell ref="C151:E151"/>
    <mergeCell ref="C149:E149"/>
    <mergeCell ref="L146:M146"/>
    <mergeCell ref="I146:J146"/>
    <mergeCell ref="I147:J147"/>
    <mergeCell ref="L137:M137"/>
    <mergeCell ref="I137:J137"/>
    <mergeCell ref="L136:M136"/>
    <mergeCell ref="L147:M147"/>
    <mergeCell ref="C155:E155"/>
    <mergeCell ref="A158:B158"/>
    <mergeCell ref="C158:E158"/>
    <mergeCell ref="I126:J126"/>
    <mergeCell ref="O118:P118"/>
    <mergeCell ref="O125:P125"/>
    <mergeCell ref="C131:C132"/>
    <mergeCell ref="C126:C128"/>
    <mergeCell ref="A157:B157"/>
    <mergeCell ref="C150:E150"/>
    <mergeCell ref="A147:H147"/>
    <mergeCell ref="B138:B145"/>
    <mergeCell ref="A138:A145"/>
    <mergeCell ref="C152:E152"/>
    <mergeCell ref="C154:E154"/>
    <mergeCell ref="C153:E153"/>
  </mergeCells>
  <printOptions horizontalCentered="1" verticalCentered="1"/>
  <pageMargins left="0.11811023622047245" right="0.11811023622047245" top="0.15748031496062992" bottom="0.35433070866141736" header="0.31496062992125984" footer="0.31496062992125984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85" zoomScaleSheetLayoutView="85" workbookViewId="0" topLeftCell="A1">
      <selection activeCell="I19" sqref="I19"/>
    </sheetView>
  </sheetViews>
  <sheetFormatPr defaultColWidth="9.00390625" defaultRowHeight="31.5" customHeight="1"/>
  <cols>
    <col min="1" max="1" width="1.00390625" style="4" customWidth="1"/>
    <col min="2" max="2" width="5.375" style="4" customWidth="1"/>
    <col min="3" max="3" width="10.125" style="5" customWidth="1"/>
    <col min="4" max="4" width="11.625" style="5" customWidth="1"/>
    <col min="5" max="5" width="5.25390625" style="5" bestFit="1" customWidth="1"/>
    <col min="6" max="6" width="2.50390625" style="6" customWidth="1"/>
    <col min="7" max="7" width="18.75390625" style="6" customWidth="1"/>
    <col min="8" max="8" width="51.125" style="6" customWidth="1"/>
    <col min="9" max="9" width="5.75390625" style="6" bestFit="1" customWidth="1"/>
    <col min="10" max="10" width="12.375" style="6" customWidth="1"/>
    <col min="11" max="11" width="0.37109375" style="4" hidden="1" customWidth="1"/>
    <col min="12" max="12" width="5.375" style="4" hidden="1" customWidth="1"/>
    <col min="13" max="13" width="11.625" style="5" hidden="1" customWidth="1"/>
    <col min="14" max="14" width="5.00390625" style="5" hidden="1" customWidth="1"/>
    <col min="15" max="15" width="2.50390625" style="6" hidden="1" customWidth="1"/>
    <col min="16" max="16" width="18.75390625" style="6" hidden="1" customWidth="1"/>
    <col min="17" max="17" width="33.625" style="6" hidden="1" customWidth="1"/>
    <col min="18" max="18" width="5.00390625" style="6" hidden="1" customWidth="1"/>
    <col min="19" max="19" width="13.125" style="6" hidden="1" customWidth="1"/>
    <col min="20" max="20" width="1.37890625" style="4" hidden="1" customWidth="1"/>
    <col min="21" max="21" width="13.75390625" style="4" customWidth="1"/>
    <col min="22" max="22" width="5.50390625" style="4" customWidth="1"/>
    <col min="23" max="25" width="9.00390625" style="4" customWidth="1"/>
    <col min="26" max="26" width="10.00390625" style="4" bestFit="1" customWidth="1"/>
    <col min="27" max="16384" width="9.00390625" style="4" customWidth="1"/>
  </cols>
  <sheetData>
    <row r="1" spans="1:20" s="1" customFormat="1" ht="26.25">
      <c r="A1" s="16"/>
      <c r="B1" s="880" t="s">
        <v>26</v>
      </c>
      <c r="C1" s="880"/>
      <c r="D1" s="880"/>
      <c r="E1" s="880"/>
      <c r="F1" s="880"/>
      <c r="G1" s="880"/>
      <c r="H1" s="880"/>
      <c r="I1" s="880"/>
      <c r="J1" s="880"/>
      <c r="L1" s="880" t="s">
        <v>13</v>
      </c>
      <c r="M1" s="880"/>
      <c r="N1" s="880"/>
      <c r="O1" s="880"/>
      <c r="P1" s="880"/>
      <c r="Q1" s="880"/>
      <c r="R1" s="881" t="s">
        <v>22</v>
      </c>
      <c r="S1" s="881"/>
      <c r="T1" s="881"/>
    </row>
    <row r="2" spans="1:20" s="3" customFormat="1" ht="3" customHeight="1">
      <c r="A2" s="17"/>
      <c r="B2" s="17"/>
      <c r="E2" s="17"/>
      <c r="F2" s="17"/>
      <c r="G2" s="17"/>
      <c r="H2" s="2"/>
      <c r="I2" s="2"/>
      <c r="J2" s="2"/>
      <c r="L2" s="17"/>
      <c r="N2" s="17"/>
      <c r="O2" s="17"/>
      <c r="P2" s="17"/>
      <c r="Q2" s="2"/>
      <c r="R2" s="26"/>
      <c r="S2" s="26"/>
      <c r="T2" s="26"/>
    </row>
    <row r="3" spans="1:20" s="3" customFormat="1" ht="13.5" customHeight="1">
      <c r="A3" s="17"/>
      <c r="B3" s="17"/>
      <c r="E3" s="27"/>
      <c r="F3" s="17"/>
      <c r="G3" s="17">
        <f>원가계산!E1</f>
        <v>1000</v>
      </c>
      <c r="H3" s="17" t="s">
        <v>221</v>
      </c>
      <c r="I3" s="882"/>
      <c r="J3" s="882"/>
      <c r="L3" s="17"/>
      <c r="N3" s="17"/>
      <c r="O3" s="17"/>
      <c r="P3" s="17"/>
      <c r="Q3" s="2"/>
      <c r="R3" s="26"/>
      <c r="S3" s="26"/>
      <c r="T3" s="26"/>
    </row>
    <row r="4" spans="1:20" s="3" customFormat="1" ht="3" customHeight="1">
      <c r="A4" s="17"/>
      <c r="B4" s="17"/>
      <c r="E4" s="17"/>
      <c r="F4" s="17"/>
      <c r="G4" s="17">
        <v>10000</v>
      </c>
      <c r="H4" s="2"/>
      <c r="I4" s="26"/>
      <c r="J4" s="26"/>
      <c r="L4" s="17"/>
      <c r="N4" s="17"/>
      <c r="O4" s="17"/>
      <c r="P4" s="17"/>
      <c r="Q4" s="2"/>
      <c r="R4" s="26"/>
      <c r="S4" s="26"/>
      <c r="T4" s="26"/>
    </row>
    <row r="5" spans="2:23" s="7" customFormat="1" ht="31.5" customHeight="1">
      <c r="B5" s="180" t="s">
        <v>0</v>
      </c>
      <c r="C5" s="180" t="s">
        <v>1</v>
      </c>
      <c r="D5" s="175"/>
      <c r="E5" s="883" t="s">
        <v>16</v>
      </c>
      <c r="F5" s="884"/>
      <c r="G5" s="885"/>
      <c r="H5" s="181" t="s">
        <v>8</v>
      </c>
      <c r="I5" s="182" t="s">
        <v>4</v>
      </c>
      <c r="J5" s="181" t="s">
        <v>2</v>
      </c>
      <c r="L5" s="14" t="s">
        <v>0</v>
      </c>
      <c r="M5" s="14" t="s">
        <v>1</v>
      </c>
      <c r="N5" s="886" t="s">
        <v>16</v>
      </c>
      <c r="O5" s="887"/>
      <c r="P5" s="888"/>
      <c r="Q5" s="10" t="s">
        <v>8</v>
      </c>
      <c r="R5" s="8" t="s">
        <v>4</v>
      </c>
      <c r="S5" s="10" t="s">
        <v>2</v>
      </c>
      <c r="T5" s="9" t="s">
        <v>3</v>
      </c>
      <c r="V5" s="872" t="s">
        <v>290</v>
      </c>
      <c r="W5" s="872"/>
    </row>
    <row r="6" spans="2:21" ht="27">
      <c r="B6" s="889" t="s">
        <v>256</v>
      </c>
      <c r="C6" s="891" t="s">
        <v>369</v>
      </c>
      <c r="D6" s="32"/>
      <c r="E6" s="28">
        <v>1</v>
      </c>
      <c r="F6" s="893" t="s">
        <v>10</v>
      </c>
      <c r="G6" s="894"/>
      <c r="H6" s="29" t="s">
        <v>27</v>
      </c>
      <c r="I6" s="19"/>
      <c r="J6" s="309">
        <f>원가계산!L98+원가계산!L137</f>
        <v>40795.02434782609</v>
      </c>
      <c r="L6" s="895" t="s">
        <v>24</v>
      </c>
      <c r="M6" s="897" t="str">
        <f>C6</f>
        <v>제품1</v>
      </c>
      <c r="N6" s="18" t="s">
        <v>5</v>
      </c>
      <c r="O6" s="899" t="s">
        <v>10</v>
      </c>
      <c r="P6" s="900"/>
      <c r="Q6" s="15" t="s">
        <v>20</v>
      </c>
      <c r="R6" s="19"/>
      <c r="S6" s="20" t="e">
        <f>ROUND(#REF!+#REF!,-3)</f>
        <v>#REF!</v>
      </c>
      <c r="T6" s="13"/>
      <c r="U6" s="459">
        <f>J6/G3</f>
        <v>40.795024347826086</v>
      </c>
    </row>
    <row r="7" spans="2:20" ht="31.5" customHeight="1">
      <c r="B7" s="890"/>
      <c r="C7" s="892"/>
      <c r="D7" s="33"/>
      <c r="E7" s="30">
        <v>2</v>
      </c>
      <c r="F7" s="901" t="s">
        <v>220</v>
      </c>
      <c r="G7" s="902"/>
      <c r="H7" s="31" t="s">
        <v>260</v>
      </c>
      <c r="I7" s="24"/>
      <c r="J7" s="310">
        <f>원가계산!L116</f>
        <v>135304.347826087</v>
      </c>
      <c r="L7" s="896"/>
      <c r="M7" s="898"/>
      <c r="N7" s="21" t="s">
        <v>6</v>
      </c>
      <c r="O7" s="903" t="s">
        <v>14</v>
      </c>
      <c r="P7" s="904"/>
      <c r="Q7" s="11" t="s">
        <v>19</v>
      </c>
      <c r="R7" s="24"/>
      <c r="S7" s="25" t="e">
        <f>ROUND(S8+#REF!,-3)</f>
        <v>#REF!</v>
      </c>
      <c r="T7" s="12"/>
    </row>
    <row r="8" spans="2:20" ht="31.5" customHeight="1">
      <c r="B8" s="890"/>
      <c r="C8" s="892"/>
      <c r="D8" s="33"/>
      <c r="E8" s="30">
        <v>3</v>
      </c>
      <c r="F8" s="901" t="s">
        <v>14</v>
      </c>
      <c r="G8" s="902"/>
      <c r="H8" s="31" t="s">
        <v>257</v>
      </c>
      <c r="I8" s="24"/>
      <c r="J8" s="310">
        <f>인건비!Q24/원가계산!O1</f>
        <v>23217.391304347828</v>
      </c>
      <c r="L8" s="896"/>
      <c r="M8" s="898"/>
      <c r="N8" s="21" t="s">
        <v>17</v>
      </c>
      <c r="O8" s="22"/>
      <c r="P8" s="23" t="s">
        <v>15</v>
      </c>
      <c r="Q8" s="11" t="s">
        <v>18</v>
      </c>
      <c r="R8" s="24"/>
      <c r="S8" s="174" t="e">
        <f>#REF!</f>
        <v>#REF!</v>
      </c>
      <c r="T8" s="12" t="s">
        <v>11</v>
      </c>
    </row>
    <row r="9" spans="2:20" ht="31.5" customHeight="1">
      <c r="B9" s="890"/>
      <c r="C9" s="892"/>
      <c r="D9" s="33"/>
      <c r="E9" s="30">
        <v>4</v>
      </c>
      <c r="F9" s="905" t="s">
        <v>340</v>
      </c>
      <c r="G9" s="906"/>
      <c r="H9" s="31" t="s">
        <v>341</v>
      </c>
      <c r="I9" s="24"/>
      <c r="J9" s="310">
        <f>원가계산!I147/원가계산!O1</f>
        <v>17565.217391304348</v>
      </c>
      <c r="L9" s="896"/>
      <c r="M9" s="898"/>
      <c r="N9" s="21"/>
      <c r="O9" s="22"/>
      <c r="P9" s="23"/>
      <c r="Q9" s="11"/>
      <c r="R9" s="24"/>
      <c r="S9" s="174"/>
      <c r="T9" s="12"/>
    </row>
    <row r="10" spans="2:21" ht="31.5" customHeight="1">
      <c r="B10" s="890"/>
      <c r="C10" s="892"/>
      <c r="D10" s="33"/>
      <c r="E10" s="30">
        <v>5</v>
      </c>
      <c r="F10" s="901" t="s">
        <v>9</v>
      </c>
      <c r="G10" s="902"/>
      <c r="H10" s="31" t="s">
        <v>342</v>
      </c>
      <c r="I10" s="24"/>
      <c r="J10" s="310">
        <f>SUM(J6:J9)</f>
        <v>216881.98086956528</v>
      </c>
      <c r="L10" s="896"/>
      <c r="M10" s="898"/>
      <c r="N10" s="21" t="s">
        <v>7</v>
      </c>
      <c r="O10" s="903" t="s">
        <v>9</v>
      </c>
      <c r="P10" s="904"/>
      <c r="Q10" s="11" t="s">
        <v>12</v>
      </c>
      <c r="R10" s="24"/>
      <c r="S10" s="25" t="e">
        <f>SUM(S6,S7,#REF!)</f>
        <v>#REF!</v>
      </c>
      <c r="T10" s="12"/>
      <c r="U10" s="459">
        <f>J10/G3</f>
        <v>216.88198086956527</v>
      </c>
    </row>
    <row r="11" spans="2:24" ht="31.5" customHeight="1">
      <c r="B11" s="890"/>
      <c r="C11" s="892"/>
      <c r="D11" s="907"/>
      <c r="E11" s="175">
        <v>7</v>
      </c>
      <c r="F11" s="924" t="s">
        <v>25</v>
      </c>
      <c r="G11" s="925"/>
      <c r="H11" s="178" t="str">
        <f>"제조원가×일반관리비율
5×"&amp;I11*100&amp;"%"</f>
        <v>제조원가×일반관리비율
5×7%</v>
      </c>
      <c r="I11" s="179">
        <v>0.07</v>
      </c>
      <c r="J11" s="311">
        <f>ROUND(J10*I11,-3)</f>
        <v>15000</v>
      </c>
      <c r="W11" s="520"/>
      <c r="X11" s="520"/>
    </row>
    <row r="12" spans="2:21" ht="31.5" customHeight="1">
      <c r="B12" s="890"/>
      <c r="C12" s="892"/>
      <c r="D12" s="908"/>
      <c r="E12" s="175">
        <v>8</v>
      </c>
      <c r="F12" s="924" t="s">
        <v>28</v>
      </c>
      <c r="G12" s="925"/>
      <c r="H12" s="178" t="str">
        <f>"제조원가×출하/판매관리비율
5×"&amp;I12*100&amp;"%"</f>
        <v>제조원가×출하/판매관리비율
5×10%</v>
      </c>
      <c r="I12" s="179">
        <v>0.1</v>
      </c>
      <c r="J12" s="311">
        <f>ROUND(J10*I12,-3)</f>
        <v>22000</v>
      </c>
      <c r="U12" s="325"/>
    </row>
    <row r="13" spans="2:24" ht="31.5" customHeight="1" thickBot="1">
      <c r="B13" s="890"/>
      <c r="C13" s="892"/>
      <c r="D13" s="908"/>
      <c r="E13" s="175">
        <v>9</v>
      </c>
      <c r="F13" s="924" t="s">
        <v>227</v>
      </c>
      <c r="G13" s="925"/>
      <c r="H13" s="178" t="str">
        <f>"(제조원가+일반관리비)×이율
(5+7)×"&amp;I13*100&amp;"%"</f>
        <v>(제조원가+일반관리비)×이율
(5+7)×5%</v>
      </c>
      <c r="I13" s="179">
        <v>0.05</v>
      </c>
      <c r="J13" s="311">
        <f>ROUND((J10+J11)*I13,-3)</f>
        <v>12000</v>
      </c>
      <c r="U13" s="34" t="s">
        <v>310</v>
      </c>
      <c r="V13" s="879"/>
      <c r="W13" s="879"/>
      <c r="X13" s="587"/>
    </row>
    <row r="14" spans="2:24" ht="31.5" customHeight="1" thickBot="1">
      <c r="B14" s="890"/>
      <c r="C14" s="892"/>
      <c r="D14" s="909"/>
      <c r="E14" s="175">
        <v>10</v>
      </c>
      <c r="F14" s="924" t="s">
        <v>30</v>
      </c>
      <c r="G14" s="925"/>
      <c r="H14" s="176" t="s">
        <v>223</v>
      </c>
      <c r="I14" s="177"/>
      <c r="J14" s="312">
        <f>ROUND((SUM(J11:J13))+J10,0)</f>
        <v>265882</v>
      </c>
      <c r="U14" s="514">
        <f>J14/G3</f>
        <v>265.882</v>
      </c>
      <c r="V14" s="875">
        <f>J14*10%</f>
        <v>26588.2</v>
      </c>
      <c r="W14" s="874"/>
      <c r="X14" s="587"/>
    </row>
    <row r="15" spans="2:21" ht="31.5" customHeight="1" hidden="1">
      <c r="B15" s="890"/>
      <c r="C15" s="892"/>
      <c r="D15" s="919" t="s">
        <v>29</v>
      </c>
      <c r="E15" s="152">
        <v>11</v>
      </c>
      <c r="F15" s="922" t="s">
        <v>25</v>
      </c>
      <c r="G15" s="923"/>
      <c r="H15" s="153" t="str">
        <f>"설치포함 제조원가×일반관리비율
6×"&amp;I15*100&amp;"%"</f>
        <v>설치포함 제조원가×일반관리비율
6×10%</v>
      </c>
      <c r="I15" s="154">
        <v>0.1</v>
      </c>
      <c r="J15" s="313" t="e">
        <f>#REF!*I15</f>
        <v>#REF!</v>
      </c>
      <c r="K15" s="155"/>
      <c r="L15" s="155"/>
      <c r="M15" s="156"/>
      <c r="N15" s="156"/>
      <c r="O15" s="157"/>
      <c r="P15" s="157"/>
      <c r="Q15" s="157"/>
      <c r="R15" s="157"/>
      <c r="S15" s="157"/>
      <c r="T15" s="155"/>
      <c r="U15" s="319"/>
    </row>
    <row r="16" spans="2:21" ht="31.5" customHeight="1" hidden="1">
      <c r="B16" s="890"/>
      <c r="C16" s="892"/>
      <c r="D16" s="920"/>
      <c r="E16" s="152">
        <v>12</v>
      </c>
      <c r="F16" s="922" t="s">
        <v>28</v>
      </c>
      <c r="G16" s="923"/>
      <c r="H16" s="153" t="str">
        <f>"설치포함 제조원가×출하/판매관리비율
6×"&amp;I16*100&amp;"%"</f>
        <v>설치포함 제조원가×출하/판매관리비율
6×5%</v>
      </c>
      <c r="I16" s="154">
        <v>0.05</v>
      </c>
      <c r="J16" s="313" t="e">
        <f>ROUND(#REF!*I16,-3)</f>
        <v>#REF!</v>
      </c>
      <c r="K16" s="155"/>
      <c r="L16" s="155"/>
      <c r="M16" s="156"/>
      <c r="N16" s="156"/>
      <c r="O16" s="157"/>
      <c r="P16" s="157"/>
      <c r="Q16" s="157"/>
      <c r="R16" s="157"/>
      <c r="S16" s="157"/>
      <c r="T16" s="155"/>
      <c r="U16" s="319"/>
    </row>
    <row r="17" spans="2:21" ht="31.5" customHeight="1" hidden="1">
      <c r="B17" s="890"/>
      <c r="C17" s="892"/>
      <c r="D17" s="920"/>
      <c r="E17" s="152">
        <v>13</v>
      </c>
      <c r="F17" s="922" t="s">
        <v>227</v>
      </c>
      <c r="G17" s="923"/>
      <c r="H17" s="153" t="str">
        <f>"(설치포함 제조원가+일반관리비)×이율
(6+7)×"&amp;I17*100&amp;"%"</f>
        <v>(설치포함 제조원가+일반관리비)×이율
(6+7)×5%</v>
      </c>
      <c r="I17" s="154">
        <v>0.05</v>
      </c>
      <c r="J17" s="313" t="e">
        <f>ROUND((#REF!+J15)*I17,-3)</f>
        <v>#REF!</v>
      </c>
      <c r="K17" s="155"/>
      <c r="L17" s="155"/>
      <c r="M17" s="156"/>
      <c r="N17" s="156"/>
      <c r="O17" s="157"/>
      <c r="P17" s="157"/>
      <c r="Q17" s="157"/>
      <c r="R17" s="157"/>
      <c r="S17" s="157"/>
      <c r="T17" s="155"/>
      <c r="U17" s="320" t="s">
        <v>31</v>
      </c>
    </row>
    <row r="18" spans="2:21" ht="31.5" customHeight="1" hidden="1">
      <c r="B18" s="890"/>
      <c r="C18" s="892"/>
      <c r="D18" s="921"/>
      <c r="E18" s="152">
        <v>14</v>
      </c>
      <c r="F18" s="922" t="s">
        <v>30</v>
      </c>
      <c r="G18" s="923"/>
      <c r="H18" s="158" t="s">
        <v>224</v>
      </c>
      <c r="I18" s="159"/>
      <c r="J18" s="314" t="e">
        <f>ROUND((SUM(J15:J17)+#REF!),-3)</f>
        <v>#REF!</v>
      </c>
      <c r="K18" s="155"/>
      <c r="L18" s="155"/>
      <c r="M18" s="156"/>
      <c r="N18" s="156"/>
      <c r="O18" s="157"/>
      <c r="P18" s="157"/>
      <c r="Q18" s="157"/>
      <c r="R18" s="157"/>
      <c r="S18" s="157"/>
      <c r="T18" s="155"/>
      <c r="U18" s="321" t="e">
        <f>ROUND(J18/G3,-3)</f>
        <v>#REF!</v>
      </c>
    </row>
    <row r="19" spans="2:25" ht="31.5" customHeight="1" thickBot="1">
      <c r="B19" s="890"/>
      <c r="C19" s="892"/>
      <c r="D19" s="907" t="s">
        <v>261</v>
      </c>
      <c r="E19" s="910" t="s">
        <v>23</v>
      </c>
      <c r="F19" s="913" t="str">
        <f>"마지노선
매출대비이익"&amp;I19*100&amp;"%"&amp;"금액"</f>
        <v>마지노선
매출대비이익10%금액</v>
      </c>
      <c r="G19" s="914"/>
      <c r="H19" s="183" t="str">
        <f>"판매마진 "&amp;I19*100&amp;"%"</f>
        <v>판매마진 10%</v>
      </c>
      <c r="I19" s="184">
        <v>0.1</v>
      </c>
      <c r="J19" s="315">
        <f>ROUND(J14/(1-I19)-J14,0)</f>
        <v>29542</v>
      </c>
      <c r="U19" s="526" t="s">
        <v>312</v>
      </c>
      <c r="V19" s="879" t="s">
        <v>311</v>
      </c>
      <c r="W19" s="879"/>
      <c r="X19" s="587"/>
      <c r="Y19" s="597" t="s">
        <v>325</v>
      </c>
    </row>
    <row r="20" spans="2:26" ht="31.5" customHeight="1" thickBot="1">
      <c r="B20" s="890"/>
      <c r="C20" s="892"/>
      <c r="D20" s="908"/>
      <c r="E20" s="911"/>
      <c r="F20" s="915"/>
      <c r="G20" s="916"/>
      <c r="H20" s="185" t="s">
        <v>21</v>
      </c>
      <c r="I20" s="246"/>
      <c r="J20" s="316">
        <f>ROUND(J14+J19,0)</f>
        <v>295424</v>
      </c>
      <c r="U20" s="514">
        <f>J20/G3</f>
        <v>295.424</v>
      </c>
      <c r="V20" s="875">
        <f>Z20</f>
        <v>453</v>
      </c>
      <c r="W20" s="876"/>
      <c r="X20" s="588"/>
      <c r="Y20" s="589">
        <f>U20</f>
        <v>295.424</v>
      </c>
      <c r="Z20" s="590">
        <v>453</v>
      </c>
    </row>
    <row r="21" spans="2:26" ht="31.5" customHeight="1">
      <c r="B21" s="890"/>
      <c r="C21" s="892"/>
      <c r="D21" s="908"/>
      <c r="E21" s="911"/>
      <c r="F21" s="917"/>
      <c r="G21" s="918"/>
      <c r="H21" s="183" t="str">
        <f>"딜러마진"&amp;I21*100&amp;"%"</f>
        <v>딜러마진40%</v>
      </c>
      <c r="I21" s="248">
        <v>0.4</v>
      </c>
      <c r="J21" s="317">
        <f>J20*I21</f>
        <v>118169.6</v>
      </c>
      <c r="U21" s="323"/>
      <c r="Y21" s="591">
        <f>Y20*I21</f>
        <v>118.1696</v>
      </c>
      <c r="Z21" s="592">
        <f>Z20*I21</f>
        <v>181.20000000000002</v>
      </c>
    </row>
    <row r="22" spans="2:26" ht="31.5" customHeight="1" thickBot="1">
      <c r="B22" s="890"/>
      <c r="C22" s="892"/>
      <c r="D22" s="908"/>
      <c r="E22" s="911"/>
      <c r="F22" s="913" t="str">
        <f>"목표계약가
매출대비이익"&amp;I22*100&amp;"%"&amp;"금액"</f>
        <v>목표계약가
매출대비이익20%금액</v>
      </c>
      <c r="G22" s="914"/>
      <c r="H22" s="183" t="str">
        <f>"판매마진"&amp;I22*100&amp;"%"</f>
        <v>판매마진20%</v>
      </c>
      <c r="I22" s="247">
        <v>0.2</v>
      </c>
      <c r="J22" s="318">
        <f>ROUND(J14/(1-I22)-J14,0)</f>
        <v>66471</v>
      </c>
      <c r="U22" s="526" t="s">
        <v>312</v>
      </c>
      <c r="V22" s="879" t="s">
        <v>311</v>
      </c>
      <c r="W22" s="879"/>
      <c r="X22" s="587"/>
      <c r="Y22" s="593">
        <f>Y20-Y21</f>
        <v>177.25439999999998</v>
      </c>
      <c r="Z22" s="594">
        <f>Z20-Z21</f>
        <v>271.79999999999995</v>
      </c>
    </row>
    <row r="23" spans="2:26" ht="31.5" customHeight="1" thickBot="1">
      <c r="B23" s="890"/>
      <c r="C23" s="892"/>
      <c r="D23" s="908"/>
      <c r="E23" s="911"/>
      <c r="F23" s="915"/>
      <c r="G23" s="916"/>
      <c r="H23" s="185" t="s">
        <v>21</v>
      </c>
      <c r="I23" s="246"/>
      <c r="J23" s="316">
        <f>ROUND(J14+J22,0)</f>
        <v>332353</v>
      </c>
      <c r="U23" s="513">
        <f>J23/G3</f>
        <v>332.353</v>
      </c>
      <c r="V23" s="875">
        <f>Z23</f>
        <v>510</v>
      </c>
      <c r="W23" s="876"/>
      <c r="X23" s="588"/>
      <c r="Y23" s="589">
        <f>U23</f>
        <v>332.353</v>
      </c>
      <c r="Z23" s="590">
        <v>510</v>
      </c>
    </row>
    <row r="24" spans="2:26" ht="31.5" customHeight="1">
      <c r="B24" s="890"/>
      <c r="C24" s="892"/>
      <c r="D24" s="908"/>
      <c r="E24" s="911"/>
      <c r="F24" s="917"/>
      <c r="G24" s="918"/>
      <c r="H24" s="183" t="str">
        <f>"딜러마진"&amp;I24*100&amp;"%"</f>
        <v>딜러마진40%</v>
      </c>
      <c r="I24" s="248">
        <v>0.4</v>
      </c>
      <c r="J24" s="317">
        <f>J23*I24</f>
        <v>132941.2</v>
      </c>
      <c r="U24" s="324"/>
      <c r="Y24" s="591">
        <f>Y23*I24</f>
        <v>132.9412</v>
      </c>
      <c r="Z24" s="592">
        <f>Z23*I24</f>
        <v>204</v>
      </c>
    </row>
    <row r="25" spans="2:26" ht="31.5" customHeight="1" thickBot="1">
      <c r="B25" s="890"/>
      <c r="C25" s="892"/>
      <c r="D25" s="908"/>
      <c r="E25" s="911"/>
      <c r="F25" s="913" t="str">
        <f>"일반견적가
매출대비이익"&amp;I25*100&amp;"%"&amp;"금액"</f>
        <v>일반견적가
매출대비이익40%금액</v>
      </c>
      <c r="G25" s="914"/>
      <c r="H25" s="183" t="str">
        <f>"판매마진"&amp;I25*100&amp;"%"</f>
        <v>판매마진40%</v>
      </c>
      <c r="I25" s="247">
        <v>0.4</v>
      </c>
      <c r="J25" s="318">
        <f>ROUND(J14/(1-I25)-J14,0)</f>
        <v>177255</v>
      </c>
      <c r="U25" s="526" t="s">
        <v>312</v>
      </c>
      <c r="V25" s="879" t="s">
        <v>311</v>
      </c>
      <c r="W25" s="879"/>
      <c r="X25" s="587"/>
      <c r="Y25" s="593">
        <f>Y23-Y24</f>
        <v>199.4118</v>
      </c>
      <c r="Z25" s="594">
        <f>Z23-Z24</f>
        <v>306</v>
      </c>
    </row>
    <row r="26" spans="2:26" ht="31.5" customHeight="1" thickBot="1">
      <c r="B26" s="890"/>
      <c r="C26" s="892"/>
      <c r="D26" s="908"/>
      <c r="E26" s="911"/>
      <c r="F26" s="915"/>
      <c r="G26" s="916"/>
      <c r="H26" s="185" t="s">
        <v>21</v>
      </c>
      <c r="I26" s="246"/>
      <c r="J26" s="316">
        <f>ROUND(J14+J25,0)</f>
        <v>443137</v>
      </c>
      <c r="U26" s="513">
        <f>J26/G3</f>
        <v>443.137</v>
      </c>
      <c r="V26" s="875">
        <f>Z26</f>
        <v>680</v>
      </c>
      <c r="W26" s="876"/>
      <c r="X26" s="588"/>
      <c r="Y26" s="595">
        <f>U26</f>
        <v>443.137</v>
      </c>
      <c r="Z26" s="596">
        <v>680</v>
      </c>
    </row>
    <row r="27" spans="2:26" ht="31.5" customHeight="1">
      <c r="B27" s="890"/>
      <c r="C27" s="892"/>
      <c r="D27" s="909"/>
      <c r="E27" s="912"/>
      <c r="F27" s="917"/>
      <c r="G27" s="918"/>
      <c r="H27" s="183" t="str">
        <f>"딜러마진"&amp;I27*100&amp;"%"</f>
        <v>딜러마진40%</v>
      </c>
      <c r="I27" s="248">
        <v>0.4</v>
      </c>
      <c r="J27" s="317">
        <f>J26*I27</f>
        <v>177254.80000000002</v>
      </c>
      <c r="U27" s="324"/>
      <c r="V27" s="877"/>
      <c r="W27" s="878"/>
      <c r="X27" s="587"/>
      <c r="Y27" s="591">
        <f>Y26*I27</f>
        <v>177.25480000000002</v>
      </c>
      <c r="Z27" s="592">
        <f>Z26*I27</f>
        <v>272</v>
      </c>
    </row>
    <row r="28" spans="4:26" ht="31.5" customHeight="1" thickBot="1">
      <c r="D28" s="516"/>
      <c r="U28" s="515">
        <v>316.46</v>
      </c>
      <c r="V28" s="871"/>
      <c r="W28" s="872"/>
      <c r="X28" s="7"/>
      <c r="Y28" s="593">
        <f>Y26-Y27</f>
        <v>265.8822</v>
      </c>
      <c r="Z28" s="594">
        <f>Z26-Z27</f>
        <v>408</v>
      </c>
    </row>
  </sheetData>
  <sheetProtection/>
  <mergeCells count="44">
    <mergeCell ref="F18:G18"/>
    <mergeCell ref="F14:G14"/>
    <mergeCell ref="O10:P10"/>
    <mergeCell ref="D11:D14"/>
    <mergeCell ref="F11:G11"/>
    <mergeCell ref="F12:G12"/>
    <mergeCell ref="F13:G13"/>
    <mergeCell ref="F17:G17"/>
    <mergeCell ref="V13:W13"/>
    <mergeCell ref="F9:G9"/>
    <mergeCell ref="D19:D27"/>
    <mergeCell ref="E19:E27"/>
    <mergeCell ref="F19:G21"/>
    <mergeCell ref="F22:G24"/>
    <mergeCell ref="F25:G27"/>
    <mergeCell ref="D15:D18"/>
    <mergeCell ref="F15:G15"/>
    <mergeCell ref="F16:G16"/>
    <mergeCell ref="B6:B27"/>
    <mergeCell ref="C6:C27"/>
    <mergeCell ref="F6:G6"/>
    <mergeCell ref="L6:L10"/>
    <mergeCell ref="M6:M10"/>
    <mergeCell ref="O6:P6"/>
    <mergeCell ref="F7:G7"/>
    <mergeCell ref="O7:P7"/>
    <mergeCell ref="F8:G8"/>
    <mergeCell ref="F10:G10"/>
    <mergeCell ref="B1:J1"/>
    <mergeCell ref="L1:Q1"/>
    <mergeCell ref="R1:T1"/>
    <mergeCell ref="I3:J3"/>
    <mergeCell ref="E5:G5"/>
    <mergeCell ref="N5:P5"/>
    <mergeCell ref="V28:W28"/>
    <mergeCell ref="V5:W5"/>
    <mergeCell ref="V14:W14"/>
    <mergeCell ref="V20:W20"/>
    <mergeCell ref="V23:W23"/>
    <mergeCell ref="V26:W26"/>
    <mergeCell ref="V27:W27"/>
    <mergeCell ref="V19:W19"/>
    <mergeCell ref="V22:W22"/>
    <mergeCell ref="V25:W2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64" r:id="rId2"/>
  <headerFooter alignWithMargins="0">
    <oddHeader>&amp;LConfidential</oddHeader>
    <oddFooter>&amp;C&amp;10&amp;P/&amp;N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85" zoomScaleSheetLayoutView="85" workbookViewId="0" topLeftCell="A1">
      <selection activeCell="I18" sqref="I18"/>
    </sheetView>
  </sheetViews>
  <sheetFormatPr defaultColWidth="9.00390625" defaultRowHeight="31.5" customHeight="1"/>
  <cols>
    <col min="1" max="1" width="1.00390625" style="4" customWidth="1"/>
    <col min="2" max="2" width="5.375" style="4" customWidth="1"/>
    <col min="3" max="3" width="10.125" style="5" customWidth="1"/>
    <col min="4" max="4" width="11.625" style="5" customWidth="1"/>
    <col min="5" max="5" width="5.25390625" style="5" bestFit="1" customWidth="1"/>
    <col min="6" max="6" width="2.50390625" style="6" customWidth="1"/>
    <col min="7" max="7" width="18.75390625" style="6" customWidth="1"/>
    <col min="8" max="8" width="51.125" style="6" customWidth="1"/>
    <col min="9" max="9" width="5.75390625" style="6" bestFit="1" customWidth="1"/>
    <col min="10" max="10" width="12.375" style="6" customWidth="1"/>
    <col min="11" max="11" width="0.37109375" style="4" hidden="1" customWidth="1"/>
    <col min="12" max="12" width="5.375" style="4" hidden="1" customWidth="1"/>
    <col min="13" max="13" width="11.625" style="5" hidden="1" customWidth="1"/>
    <col min="14" max="14" width="5.00390625" style="5" hidden="1" customWidth="1"/>
    <col min="15" max="15" width="2.50390625" style="6" hidden="1" customWidth="1"/>
    <col min="16" max="16" width="18.75390625" style="6" hidden="1" customWidth="1"/>
    <col min="17" max="17" width="33.625" style="6" hidden="1" customWidth="1"/>
    <col min="18" max="18" width="5.00390625" style="6" hidden="1" customWidth="1"/>
    <col min="19" max="19" width="13.125" style="6" hidden="1" customWidth="1"/>
    <col min="20" max="20" width="1.37890625" style="4" hidden="1" customWidth="1"/>
    <col min="21" max="21" width="13.75390625" style="4" customWidth="1"/>
    <col min="22" max="22" width="8.875" style="4" customWidth="1"/>
    <col min="23" max="24" width="9.00390625" style="4" customWidth="1"/>
    <col min="25" max="25" width="10.00390625" style="4" bestFit="1" customWidth="1"/>
    <col min="26" max="16384" width="9.00390625" style="4" customWidth="1"/>
  </cols>
  <sheetData>
    <row r="1" spans="1:20" s="1" customFormat="1" ht="26.25">
      <c r="A1" s="16"/>
      <c r="B1" s="880" t="s">
        <v>26</v>
      </c>
      <c r="C1" s="880"/>
      <c r="D1" s="880"/>
      <c r="E1" s="880"/>
      <c r="F1" s="880"/>
      <c r="G1" s="880"/>
      <c r="H1" s="880"/>
      <c r="I1" s="880"/>
      <c r="J1" s="880"/>
      <c r="L1" s="880" t="s">
        <v>13</v>
      </c>
      <c r="M1" s="880"/>
      <c r="N1" s="880"/>
      <c r="O1" s="880"/>
      <c r="P1" s="880"/>
      <c r="Q1" s="880"/>
      <c r="R1" s="881" t="s">
        <v>22</v>
      </c>
      <c r="S1" s="881"/>
      <c r="T1" s="881"/>
    </row>
    <row r="2" spans="1:20" s="3" customFormat="1" ht="3" customHeight="1">
      <c r="A2" s="17"/>
      <c r="B2" s="17"/>
      <c r="E2" s="17"/>
      <c r="F2" s="17"/>
      <c r="G2" s="17"/>
      <c r="H2" s="2"/>
      <c r="I2" s="2"/>
      <c r="J2" s="2"/>
      <c r="L2" s="17"/>
      <c r="N2" s="17"/>
      <c r="O2" s="17"/>
      <c r="P2" s="17"/>
      <c r="Q2" s="2"/>
      <c r="R2" s="26"/>
      <c r="S2" s="26"/>
      <c r="T2" s="26"/>
    </row>
    <row r="3" spans="1:20" s="3" customFormat="1" ht="13.5" customHeight="1">
      <c r="A3" s="17"/>
      <c r="B3" s="17"/>
      <c r="E3" s="27"/>
      <c r="F3" s="17"/>
      <c r="G3" s="17">
        <f>원가계산!E1</f>
        <v>1000</v>
      </c>
      <c r="H3" s="17" t="s">
        <v>221</v>
      </c>
      <c r="I3" s="882"/>
      <c r="J3" s="882"/>
      <c r="L3" s="17"/>
      <c r="N3" s="17"/>
      <c r="O3" s="17"/>
      <c r="P3" s="17"/>
      <c r="Q3" s="2"/>
      <c r="R3" s="26"/>
      <c r="S3" s="26"/>
      <c r="T3" s="26"/>
    </row>
    <row r="4" spans="1:20" s="3" customFormat="1" ht="3" customHeight="1">
      <c r="A4" s="17"/>
      <c r="B4" s="17"/>
      <c r="E4" s="17"/>
      <c r="F4" s="17"/>
      <c r="G4" s="17">
        <v>10000</v>
      </c>
      <c r="H4" s="2"/>
      <c r="I4" s="26"/>
      <c r="J4" s="26"/>
      <c r="L4" s="17"/>
      <c r="N4" s="17"/>
      <c r="O4" s="17"/>
      <c r="P4" s="17"/>
      <c r="Q4" s="2"/>
      <c r="R4" s="26"/>
      <c r="S4" s="26"/>
      <c r="T4" s="26"/>
    </row>
    <row r="5" spans="2:23" s="7" customFormat="1" ht="31.5" customHeight="1">
      <c r="B5" s="507" t="s">
        <v>0</v>
      </c>
      <c r="C5" s="507" t="s">
        <v>1</v>
      </c>
      <c r="D5" s="506"/>
      <c r="E5" s="883" t="s">
        <v>16</v>
      </c>
      <c r="F5" s="884"/>
      <c r="G5" s="885"/>
      <c r="H5" s="181" t="s">
        <v>8</v>
      </c>
      <c r="I5" s="505" t="s">
        <v>4</v>
      </c>
      <c r="J5" s="181" t="s">
        <v>2</v>
      </c>
      <c r="L5" s="14" t="s">
        <v>0</v>
      </c>
      <c r="M5" s="14" t="s">
        <v>1</v>
      </c>
      <c r="N5" s="886" t="s">
        <v>16</v>
      </c>
      <c r="O5" s="887"/>
      <c r="P5" s="888"/>
      <c r="Q5" s="10" t="s">
        <v>8</v>
      </c>
      <c r="R5" s="8" t="s">
        <v>4</v>
      </c>
      <c r="S5" s="10" t="s">
        <v>2</v>
      </c>
      <c r="T5" s="9" t="s">
        <v>3</v>
      </c>
      <c r="V5" s="872" t="s">
        <v>290</v>
      </c>
      <c r="W5" s="872"/>
    </row>
    <row r="6" spans="2:22" ht="27">
      <c r="B6" s="889"/>
      <c r="C6" s="891" t="s">
        <v>369</v>
      </c>
      <c r="D6" s="32"/>
      <c r="E6" s="28">
        <v>1</v>
      </c>
      <c r="F6" s="893" t="s">
        <v>10</v>
      </c>
      <c r="G6" s="894"/>
      <c r="H6" s="29" t="s">
        <v>27</v>
      </c>
      <c r="I6" s="19"/>
      <c r="J6" s="309">
        <f>원가계산!L98+원가계산!L137</f>
        <v>40795.02434782609</v>
      </c>
      <c r="L6" s="895" t="s">
        <v>24</v>
      </c>
      <c r="M6" s="897" t="str">
        <f>C6</f>
        <v>제품1</v>
      </c>
      <c r="N6" s="18" t="s">
        <v>5</v>
      </c>
      <c r="O6" s="899" t="s">
        <v>10</v>
      </c>
      <c r="P6" s="900"/>
      <c r="Q6" s="15" t="s">
        <v>20</v>
      </c>
      <c r="R6" s="19"/>
      <c r="S6" s="20" t="e">
        <f>ROUND(#REF!+#REF!,-3)</f>
        <v>#REF!</v>
      </c>
      <c r="T6" s="13"/>
      <c r="U6" s="459">
        <f>J6/G3</f>
        <v>40.795024347826086</v>
      </c>
      <c r="V6" s="693"/>
    </row>
    <row r="7" spans="2:20" ht="31.5" customHeight="1">
      <c r="B7" s="890"/>
      <c r="C7" s="892"/>
      <c r="D7" s="33"/>
      <c r="E7" s="30">
        <v>2</v>
      </c>
      <c r="F7" s="901" t="s">
        <v>220</v>
      </c>
      <c r="G7" s="902"/>
      <c r="H7" s="31" t="s">
        <v>260</v>
      </c>
      <c r="I7" s="24"/>
      <c r="J7" s="310">
        <v>0</v>
      </c>
      <c r="L7" s="896"/>
      <c r="M7" s="898"/>
      <c r="N7" s="21" t="s">
        <v>6</v>
      </c>
      <c r="O7" s="903" t="s">
        <v>14</v>
      </c>
      <c r="P7" s="904"/>
      <c r="Q7" s="11" t="s">
        <v>19</v>
      </c>
      <c r="R7" s="24"/>
      <c r="S7" s="25" t="e">
        <f>ROUND(S8+#REF!,-3)</f>
        <v>#REF!</v>
      </c>
      <c r="T7" s="12"/>
    </row>
    <row r="8" spans="2:20" ht="31.5" customHeight="1">
      <c r="B8" s="890"/>
      <c r="C8" s="892"/>
      <c r="D8" s="33"/>
      <c r="E8" s="30">
        <v>3</v>
      </c>
      <c r="F8" s="901" t="s">
        <v>14</v>
      </c>
      <c r="G8" s="902"/>
      <c r="H8" s="31" t="s">
        <v>232</v>
      </c>
      <c r="I8" s="24"/>
      <c r="J8" s="310">
        <v>0</v>
      </c>
      <c r="L8" s="896"/>
      <c r="M8" s="898"/>
      <c r="N8" s="21" t="s">
        <v>17</v>
      </c>
      <c r="O8" s="22"/>
      <c r="P8" s="23" t="s">
        <v>15</v>
      </c>
      <c r="Q8" s="11" t="s">
        <v>18</v>
      </c>
      <c r="R8" s="24"/>
      <c r="S8" s="174" t="e">
        <f>#REF!</f>
        <v>#REF!</v>
      </c>
      <c r="T8" s="12" t="s">
        <v>11</v>
      </c>
    </row>
    <row r="9" spans="2:21" ht="31.5" customHeight="1">
      <c r="B9" s="890"/>
      <c r="C9" s="892"/>
      <c r="D9" s="33"/>
      <c r="E9" s="30">
        <v>5</v>
      </c>
      <c r="F9" s="901" t="s">
        <v>9</v>
      </c>
      <c r="G9" s="902"/>
      <c r="H9" s="31" t="s">
        <v>259</v>
      </c>
      <c r="I9" s="24"/>
      <c r="J9" s="310">
        <f>J6+J7+J8</f>
        <v>40795.02434782609</v>
      </c>
      <c r="L9" s="896"/>
      <c r="M9" s="898"/>
      <c r="N9" s="21" t="s">
        <v>7</v>
      </c>
      <c r="O9" s="903" t="s">
        <v>9</v>
      </c>
      <c r="P9" s="904"/>
      <c r="Q9" s="11" t="s">
        <v>12</v>
      </c>
      <c r="R9" s="24"/>
      <c r="S9" s="25" t="e">
        <f>SUM(S6,S7,#REF!)</f>
        <v>#REF!</v>
      </c>
      <c r="T9" s="12"/>
      <c r="U9" s="459">
        <f>J9/G3</f>
        <v>40.795024347826086</v>
      </c>
    </row>
    <row r="10" spans="2:10" ht="31.5" customHeight="1">
      <c r="B10" s="890"/>
      <c r="C10" s="892"/>
      <c r="D10" s="907"/>
      <c r="E10" s="506">
        <v>7</v>
      </c>
      <c r="F10" s="924" t="s">
        <v>25</v>
      </c>
      <c r="G10" s="925"/>
      <c r="H10" s="178" t="str">
        <f>"제조원가×일반관리비율
5×"&amp;I10*100&amp;"%"</f>
        <v>제조원가×일반관리비율
5×2%</v>
      </c>
      <c r="I10" s="179">
        <v>0.02</v>
      </c>
      <c r="J10" s="311">
        <f>ROUND(J9*I10,-3)</f>
        <v>1000</v>
      </c>
    </row>
    <row r="11" spans="2:21" ht="31.5" customHeight="1">
      <c r="B11" s="890"/>
      <c r="C11" s="892"/>
      <c r="D11" s="908"/>
      <c r="E11" s="506">
        <v>8</v>
      </c>
      <c r="F11" s="924" t="s">
        <v>28</v>
      </c>
      <c r="G11" s="925"/>
      <c r="H11" s="178" t="str">
        <f>"제조원가×출하/판매관리비율
5×"&amp;I11*100&amp;"%"</f>
        <v>제조원가×출하/판매관리비율
5×10%</v>
      </c>
      <c r="I11" s="179">
        <v>0.1</v>
      </c>
      <c r="J11" s="311">
        <f>ROUND(J9*I11,-3)</f>
        <v>4000</v>
      </c>
      <c r="U11" s="325"/>
    </row>
    <row r="12" spans="2:21" ht="31.5" customHeight="1" thickBot="1">
      <c r="B12" s="890"/>
      <c r="C12" s="892"/>
      <c r="D12" s="908"/>
      <c r="E12" s="506">
        <v>9</v>
      </c>
      <c r="F12" s="924" t="s">
        <v>227</v>
      </c>
      <c r="G12" s="925"/>
      <c r="H12" s="178" t="str">
        <f>"(제조원가+일반관리비)×이율
(5+7)×"&amp;I12*100&amp;"%"</f>
        <v>(제조원가+일반관리비)×이율
(5+7)×0%</v>
      </c>
      <c r="I12" s="179">
        <v>0</v>
      </c>
      <c r="J12" s="311">
        <f>ROUND((J9+J10)*I12,-3)</f>
        <v>0</v>
      </c>
      <c r="U12" s="34" t="s">
        <v>258</v>
      </c>
    </row>
    <row r="13" spans="2:23" ht="31.5" customHeight="1" thickBot="1">
      <c r="B13" s="890"/>
      <c r="C13" s="892"/>
      <c r="D13" s="909"/>
      <c r="E13" s="506">
        <v>10</v>
      </c>
      <c r="F13" s="924" t="s">
        <v>30</v>
      </c>
      <c r="G13" s="925"/>
      <c r="H13" s="176" t="s">
        <v>223</v>
      </c>
      <c r="I13" s="177"/>
      <c r="J13" s="312">
        <f>ROUND((SUM(J10:J12))+J9,0)</f>
        <v>45795</v>
      </c>
      <c r="U13" s="514">
        <f>J13/G3</f>
        <v>45.795</v>
      </c>
      <c r="V13" s="873"/>
      <c r="W13" s="874"/>
    </row>
    <row r="14" spans="2:21" ht="31.5" customHeight="1" hidden="1">
      <c r="B14" s="890"/>
      <c r="C14" s="892"/>
      <c r="D14" s="919" t="s">
        <v>29</v>
      </c>
      <c r="E14" s="152">
        <v>11</v>
      </c>
      <c r="F14" s="922" t="s">
        <v>25</v>
      </c>
      <c r="G14" s="923"/>
      <c r="H14" s="153" t="str">
        <f>"설치포함 제조원가×일반관리비율
6×"&amp;I14*100&amp;"%"</f>
        <v>설치포함 제조원가×일반관리비율
6×10%</v>
      </c>
      <c r="I14" s="154">
        <v>0.1</v>
      </c>
      <c r="J14" s="313" t="e">
        <f>#REF!*I14</f>
        <v>#REF!</v>
      </c>
      <c r="K14" s="155"/>
      <c r="L14" s="155"/>
      <c r="M14" s="156"/>
      <c r="N14" s="156"/>
      <c r="O14" s="157"/>
      <c r="P14" s="157"/>
      <c r="Q14" s="157"/>
      <c r="R14" s="157"/>
      <c r="S14" s="157"/>
      <c r="T14" s="155"/>
      <c r="U14" s="319"/>
    </row>
    <row r="15" spans="2:21" ht="31.5" customHeight="1" hidden="1">
      <c r="B15" s="890"/>
      <c r="C15" s="892"/>
      <c r="D15" s="920"/>
      <c r="E15" s="152">
        <v>12</v>
      </c>
      <c r="F15" s="922" t="s">
        <v>28</v>
      </c>
      <c r="G15" s="923"/>
      <c r="H15" s="153" t="str">
        <f>"설치포함 제조원가×출하/판매관리비율
6×"&amp;I15*100&amp;"%"</f>
        <v>설치포함 제조원가×출하/판매관리비율
6×5%</v>
      </c>
      <c r="I15" s="154">
        <v>0.05</v>
      </c>
      <c r="J15" s="313" t="e">
        <f>ROUND(#REF!*I15,-3)</f>
        <v>#REF!</v>
      </c>
      <c r="K15" s="155"/>
      <c r="L15" s="155"/>
      <c r="M15" s="156"/>
      <c r="N15" s="156"/>
      <c r="O15" s="157"/>
      <c r="P15" s="157"/>
      <c r="Q15" s="157"/>
      <c r="R15" s="157"/>
      <c r="S15" s="157"/>
      <c r="T15" s="155"/>
      <c r="U15" s="319"/>
    </row>
    <row r="16" spans="2:21" ht="31.5" customHeight="1" hidden="1">
      <c r="B16" s="890"/>
      <c r="C16" s="892"/>
      <c r="D16" s="920"/>
      <c r="E16" s="152">
        <v>13</v>
      </c>
      <c r="F16" s="922" t="s">
        <v>227</v>
      </c>
      <c r="G16" s="923"/>
      <c r="H16" s="153" t="str">
        <f>"(설치포함 제조원가+일반관리비)×이율
(6+7)×"&amp;I16*100&amp;"%"</f>
        <v>(설치포함 제조원가+일반관리비)×이율
(6+7)×5%</v>
      </c>
      <c r="I16" s="154">
        <v>0.05</v>
      </c>
      <c r="J16" s="313" t="e">
        <f>ROUND((#REF!+J14)*I16,-3)</f>
        <v>#REF!</v>
      </c>
      <c r="K16" s="155"/>
      <c r="L16" s="155"/>
      <c r="M16" s="156"/>
      <c r="N16" s="156"/>
      <c r="O16" s="157"/>
      <c r="P16" s="157"/>
      <c r="Q16" s="157"/>
      <c r="R16" s="157"/>
      <c r="S16" s="157"/>
      <c r="T16" s="155"/>
      <c r="U16" s="320" t="s">
        <v>31</v>
      </c>
    </row>
    <row r="17" spans="2:21" ht="31.5" customHeight="1" hidden="1">
      <c r="B17" s="890"/>
      <c r="C17" s="892"/>
      <c r="D17" s="921"/>
      <c r="E17" s="152">
        <v>14</v>
      </c>
      <c r="F17" s="922" t="s">
        <v>30</v>
      </c>
      <c r="G17" s="923"/>
      <c r="H17" s="158" t="s">
        <v>224</v>
      </c>
      <c r="I17" s="159"/>
      <c r="J17" s="314" t="e">
        <f>ROUND((SUM(J14:J16)+#REF!),-3)</f>
        <v>#REF!</v>
      </c>
      <c r="K17" s="155"/>
      <c r="L17" s="155"/>
      <c r="M17" s="156"/>
      <c r="N17" s="156"/>
      <c r="O17" s="157"/>
      <c r="P17" s="157"/>
      <c r="Q17" s="157"/>
      <c r="R17" s="157"/>
      <c r="S17" s="157"/>
      <c r="T17" s="155"/>
      <c r="U17" s="321" t="e">
        <f>ROUND(J17/G3,-3)</f>
        <v>#REF!</v>
      </c>
    </row>
    <row r="18" spans="2:23" ht="31.5" customHeight="1" thickBot="1">
      <c r="B18" s="890"/>
      <c r="C18" s="892"/>
      <c r="D18" s="907" t="s">
        <v>261</v>
      </c>
      <c r="E18" s="910" t="s">
        <v>23</v>
      </c>
      <c r="F18" s="913" t="str">
        <f>"마지노선
매출대비이익"&amp;I18*100&amp;"%"&amp;"금액"</f>
        <v>마지노선
매출대비이익10%금액</v>
      </c>
      <c r="G18" s="914"/>
      <c r="H18" s="183" t="str">
        <f>"판매마진 "&amp;I18*100&amp;"%"</f>
        <v>판매마진 10%</v>
      </c>
      <c r="I18" s="184">
        <v>0.1</v>
      </c>
      <c r="J18" s="315">
        <f>ROUND(J13/(1-I18)-J13,0)</f>
        <v>5088</v>
      </c>
      <c r="U18" s="322" t="s">
        <v>326</v>
      </c>
      <c r="V18" s="879"/>
      <c r="W18" s="879"/>
    </row>
    <row r="19" spans="2:25" ht="31.5" customHeight="1" thickBot="1">
      <c r="B19" s="890"/>
      <c r="C19" s="892"/>
      <c r="D19" s="908"/>
      <c r="E19" s="911"/>
      <c r="F19" s="915"/>
      <c r="G19" s="916"/>
      <c r="H19" s="185" t="s">
        <v>21</v>
      </c>
      <c r="I19" s="246"/>
      <c r="J19" s="316">
        <f>ROUND(J13+J18,0)</f>
        <v>50883</v>
      </c>
      <c r="U19" s="514">
        <f>J19/G3</f>
        <v>50.883</v>
      </c>
      <c r="V19" s="875">
        <f>Y19</f>
        <v>82</v>
      </c>
      <c r="W19" s="874"/>
      <c r="X19" s="515">
        <f>U19</f>
        <v>50.883</v>
      </c>
      <c r="Y19" s="515">
        <v>82</v>
      </c>
    </row>
    <row r="20" spans="2:25" ht="31.5" customHeight="1">
      <c r="B20" s="890"/>
      <c r="C20" s="892"/>
      <c r="D20" s="908"/>
      <c r="E20" s="911"/>
      <c r="F20" s="917"/>
      <c r="G20" s="918"/>
      <c r="H20" s="183" t="str">
        <f>"딜러마진"&amp;I20*100&amp;"%"</f>
        <v>딜러마진40%</v>
      </c>
      <c r="I20" s="248">
        <v>0.4</v>
      </c>
      <c r="J20" s="317">
        <f>J19*I20</f>
        <v>20353.2</v>
      </c>
      <c r="U20" s="323"/>
      <c r="X20" s="515">
        <f>U25*I26</f>
        <v>26</v>
      </c>
      <c r="Y20" s="515">
        <f>Y19*I20</f>
        <v>32.800000000000004</v>
      </c>
    </row>
    <row r="21" spans="2:25" ht="31.5" customHeight="1" thickBot="1">
      <c r="B21" s="890"/>
      <c r="C21" s="892"/>
      <c r="D21" s="908"/>
      <c r="E21" s="911"/>
      <c r="F21" s="913" t="str">
        <f>"목표계약가
매출대비이익"&amp;I21*100&amp;"%"&amp;"금액"</f>
        <v>목표계약가
매출대비이익20%금액</v>
      </c>
      <c r="G21" s="914"/>
      <c r="H21" s="183" t="str">
        <f>"판매마진"&amp;I21*100&amp;"%"</f>
        <v>판매마진20%</v>
      </c>
      <c r="I21" s="247">
        <v>0.2</v>
      </c>
      <c r="J21" s="318">
        <f>ROUND(J13/(1-I21)-J13,0)</f>
        <v>11449</v>
      </c>
      <c r="U21" s="322" t="s">
        <v>326</v>
      </c>
      <c r="V21" s="879"/>
      <c r="W21" s="879"/>
      <c r="X21" s="515">
        <f>X19-X20</f>
        <v>24.883000000000003</v>
      </c>
      <c r="Y21" s="515">
        <f>Y19-Y20</f>
        <v>49.199999999999996</v>
      </c>
    </row>
    <row r="22" spans="2:25" ht="31.5" customHeight="1" thickBot="1">
      <c r="B22" s="890"/>
      <c r="C22" s="892"/>
      <c r="D22" s="908"/>
      <c r="E22" s="911"/>
      <c r="F22" s="915"/>
      <c r="G22" s="916"/>
      <c r="H22" s="185" t="s">
        <v>21</v>
      </c>
      <c r="I22" s="246"/>
      <c r="J22" s="316">
        <f>ROUND(J13+J21,0)</f>
        <v>57244</v>
      </c>
      <c r="U22" s="513">
        <f>ROUND(J22/G3,0)</f>
        <v>57</v>
      </c>
      <c r="V22" s="875">
        <f>Y22</f>
        <v>92</v>
      </c>
      <c r="W22" s="874"/>
      <c r="X22" s="515">
        <f>U22</f>
        <v>57</v>
      </c>
      <c r="Y22" s="515">
        <v>92</v>
      </c>
    </row>
    <row r="23" spans="2:25" ht="31.5" customHeight="1">
      <c r="B23" s="890"/>
      <c r="C23" s="892"/>
      <c r="D23" s="908"/>
      <c r="E23" s="911"/>
      <c r="F23" s="917"/>
      <c r="G23" s="918"/>
      <c r="H23" s="183" t="str">
        <f>"딜러마진"&amp;I23*100&amp;"%"</f>
        <v>딜러마진40%</v>
      </c>
      <c r="I23" s="248">
        <v>0.4</v>
      </c>
      <c r="J23" s="317">
        <f>J22*I23</f>
        <v>22897.600000000002</v>
      </c>
      <c r="U23" s="324"/>
      <c r="X23" s="515">
        <f>X22*I23</f>
        <v>22.8</v>
      </c>
      <c r="Y23" s="515">
        <f>Y22*I23</f>
        <v>36.800000000000004</v>
      </c>
    </row>
    <row r="24" spans="2:25" ht="31.5" customHeight="1" thickBot="1">
      <c r="B24" s="890"/>
      <c r="C24" s="892"/>
      <c r="D24" s="908"/>
      <c r="E24" s="911"/>
      <c r="F24" s="913" t="str">
        <f>"일반견적가
매출대비이익"&amp;I24*100&amp;"%"&amp;"금액"</f>
        <v>일반견적가
매출대비이익30%금액</v>
      </c>
      <c r="G24" s="914"/>
      <c r="H24" s="183" t="str">
        <f>"판매마진"&amp;I24*100&amp;"%"</f>
        <v>판매마진30%</v>
      </c>
      <c r="I24" s="247">
        <v>0.3</v>
      </c>
      <c r="J24" s="318">
        <f>ROUND(J13/(1-I24)-J13,0)</f>
        <v>19626</v>
      </c>
      <c r="U24" s="322" t="s">
        <v>326</v>
      </c>
      <c r="V24" s="879"/>
      <c r="W24" s="879"/>
      <c r="X24" s="515">
        <f>X22-X23</f>
        <v>34.2</v>
      </c>
      <c r="Y24" s="515">
        <f>Y22-Y23</f>
        <v>55.199999999999996</v>
      </c>
    </row>
    <row r="25" spans="2:25" ht="31.5" customHeight="1" thickBot="1">
      <c r="B25" s="890"/>
      <c r="C25" s="892"/>
      <c r="D25" s="908"/>
      <c r="E25" s="911"/>
      <c r="F25" s="915"/>
      <c r="G25" s="916"/>
      <c r="H25" s="185" t="s">
        <v>21</v>
      </c>
      <c r="I25" s="246"/>
      <c r="J25" s="316">
        <f>ROUND(J13+J24,0)</f>
        <v>65421</v>
      </c>
      <c r="U25" s="513">
        <f>ROUND(J25/G3,0)</f>
        <v>65</v>
      </c>
      <c r="V25" s="875">
        <f>Y25</f>
        <v>105</v>
      </c>
      <c r="W25" s="874"/>
      <c r="X25" s="515">
        <f>U25</f>
        <v>65</v>
      </c>
      <c r="Y25" s="515">
        <v>105</v>
      </c>
    </row>
    <row r="26" spans="2:25" ht="31.5" customHeight="1">
      <c r="B26" s="890"/>
      <c r="C26" s="892"/>
      <c r="D26" s="909"/>
      <c r="E26" s="912"/>
      <c r="F26" s="917"/>
      <c r="G26" s="918"/>
      <c r="H26" s="183" t="str">
        <f>"딜러마진"&amp;I26*100&amp;"%"</f>
        <v>딜러마진40%</v>
      </c>
      <c r="I26" s="248">
        <v>0.4</v>
      </c>
      <c r="J26" s="317">
        <f>J25*I26</f>
        <v>26168.4</v>
      </c>
      <c r="U26" s="324"/>
      <c r="V26" s="877"/>
      <c r="W26" s="878"/>
      <c r="X26" s="515">
        <f>X25*I26</f>
        <v>26</v>
      </c>
      <c r="Y26" s="515">
        <f>Y25*I26</f>
        <v>42</v>
      </c>
    </row>
    <row r="27" spans="21:25" ht="31.5" customHeight="1">
      <c r="U27" s="515"/>
      <c r="V27" s="871"/>
      <c r="W27" s="872"/>
      <c r="X27" s="515">
        <f>X25-X26</f>
        <v>39</v>
      </c>
      <c r="Y27" s="515">
        <f>Y25-Y26</f>
        <v>63</v>
      </c>
    </row>
  </sheetData>
  <sheetProtection/>
  <mergeCells count="42">
    <mergeCell ref="B1:J1"/>
    <mergeCell ref="L1:Q1"/>
    <mergeCell ref="R1:T1"/>
    <mergeCell ref="I3:J3"/>
    <mergeCell ref="E5:G5"/>
    <mergeCell ref="N5:P5"/>
    <mergeCell ref="V5:W5"/>
    <mergeCell ref="B6:B26"/>
    <mergeCell ref="C6:C26"/>
    <mergeCell ref="F6:G6"/>
    <mergeCell ref="L6:L9"/>
    <mergeCell ref="M6:M9"/>
    <mergeCell ref="O6:P6"/>
    <mergeCell ref="F7:G7"/>
    <mergeCell ref="O7:P7"/>
    <mergeCell ref="F8:G8"/>
    <mergeCell ref="V18:W18"/>
    <mergeCell ref="V21:W21"/>
    <mergeCell ref="V24:W24"/>
    <mergeCell ref="F9:G9"/>
    <mergeCell ref="O9:P9"/>
    <mergeCell ref="D10:D13"/>
    <mergeCell ref="F10:G10"/>
    <mergeCell ref="F11:G11"/>
    <mergeCell ref="F12:G12"/>
    <mergeCell ref="F13:G13"/>
    <mergeCell ref="V13:W13"/>
    <mergeCell ref="D14:D17"/>
    <mergeCell ref="F14:G14"/>
    <mergeCell ref="F15:G15"/>
    <mergeCell ref="F16:G16"/>
    <mergeCell ref="F17:G17"/>
    <mergeCell ref="V27:W27"/>
    <mergeCell ref="D18:D26"/>
    <mergeCell ref="E18:E26"/>
    <mergeCell ref="F18:G20"/>
    <mergeCell ref="V19:W19"/>
    <mergeCell ref="F21:G23"/>
    <mergeCell ref="V22:W22"/>
    <mergeCell ref="F24:G26"/>
    <mergeCell ref="V25:W25"/>
    <mergeCell ref="V26:W26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scale="60" r:id="rId2"/>
  <headerFooter alignWithMargins="0">
    <oddHeader>&amp;LConfidential</oddHeader>
    <oddFooter>&amp;C&amp;10&amp;P/&amp;N</oddFooter>
  </headerFooter>
  <colBreaks count="1" manualBreakCount="1">
    <brk id="2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T26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1.875" style="0" customWidth="1"/>
    <col min="2" max="2" width="3.875" style="0" bestFit="1" customWidth="1"/>
    <col min="3" max="3" width="12.625" style="0" bestFit="1" customWidth="1"/>
    <col min="4" max="10" width="12.75390625" style="0" bestFit="1" customWidth="1"/>
    <col min="11" max="11" width="12.25390625" style="0" customWidth="1"/>
    <col min="12" max="12" width="12.875" style="0" customWidth="1"/>
    <col min="13" max="13" width="9.00390625" style="0" customWidth="1"/>
    <col min="14" max="14" width="5.625" style="0" customWidth="1"/>
    <col min="15" max="15" width="6.50390625" style="0" customWidth="1"/>
    <col min="16" max="16" width="5.875" style="0" customWidth="1"/>
    <col min="17" max="17" width="12.75390625" style="0" bestFit="1" customWidth="1"/>
    <col min="18" max="18" width="3.25390625" style="0" customWidth="1"/>
    <col min="20" max="20" width="12.75390625" style="0" bestFit="1" customWidth="1"/>
  </cols>
  <sheetData>
    <row r="5" spans="4:11" ht="14.25" thickBot="1">
      <c r="D5" s="464">
        <v>2015</v>
      </c>
      <c r="K5" s="464">
        <v>2016</v>
      </c>
    </row>
    <row r="6" spans="2:19" ht="14.25" thickBot="1">
      <c r="B6" s="479"/>
      <c r="C6" s="480" t="s">
        <v>0</v>
      </c>
      <c r="D6" s="480">
        <v>6</v>
      </c>
      <c r="E6" s="480">
        <v>7</v>
      </c>
      <c r="F6" s="469">
        <v>8</v>
      </c>
      <c r="G6" s="478">
        <v>9</v>
      </c>
      <c r="H6" s="478">
        <v>10</v>
      </c>
      <c r="I6" s="469">
        <v>11</v>
      </c>
      <c r="J6" s="478">
        <v>12</v>
      </c>
      <c r="K6" s="469">
        <v>1</v>
      </c>
      <c r="L6" s="469">
        <v>2</v>
      </c>
      <c r="M6" s="469">
        <v>3</v>
      </c>
      <c r="N6" s="480">
        <v>4</v>
      </c>
      <c r="O6" s="480">
        <v>5</v>
      </c>
      <c r="P6" s="469">
        <v>6</v>
      </c>
      <c r="Q6" s="481" t="s">
        <v>30</v>
      </c>
      <c r="S6" s="496" t="s">
        <v>280</v>
      </c>
    </row>
    <row r="7" spans="2:20" ht="13.5">
      <c r="B7" s="926" t="s">
        <v>274</v>
      </c>
      <c r="C7" s="465" t="s">
        <v>275</v>
      </c>
      <c r="D7" s="470"/>
      <c r="E7" s="470"/>
      <c r="F7" s="475"/>
      <c r="G7" s="470"/>
      <c r="H7" s="470"/>
      <c r="I7" s="475"/>
      <c r="J7" s="470"/>
      <c r="K7" s="475"/>
      <c r="L7" s="475"/>
      <c r="M7" s="475"/>
      <c r="N7" s="475"/>
      <c r="O7" s="470"/>
      <c r="P7" s="475"/>
      <c r="Q7" s="482"/>
      <c r="S7" s="487" t="s">
        <v>284</v>
      </c>
      <c r="T7" s="488">
        <v>2000000</v>
      </c>
    </row>
    <row r="8" spans="2:20" ht="13.5">
      <c r="B8" s="926"/>
      <c r="C8" s="465" t="s">
        <v>250</v>
      </c>
      <c r="D8" s="470">
        <v>1</v>
      </c>
      <c r="E8" s="470">
        <v>1</v>
      </c>
      <c r="F8" s="475">
        <v>1</v>
      </c>
      <c r="G8" s="470">
        <v>1</v>
      </c>
      <c r="H8" s="470">
        <v>1</v>
      </c>
      <c r="I8" s="475">
        <v>1</v>
      </c>
      <c r="J8" s="470">
        <v>1</v>
      </c>
      <c r="K8" s="475">
        <v>1</v>
      </c>
      <c r="L8" s="475"/>
      <c r="M8" s="475"/>
      <c r="N8" s="475"/>
      <c r="O8" s="470"/>
      <c r="P8" s="475"/>
      <c r="Q8" s="471"/>
      <c r="S8" s="497" t="s">
        <v>278</v>
      </c>
      <c r="T8" s="498">
        <v>1500000</v>
      </c>
    </row>
    <row r="9" spans="2:20" ht="14.25" thickBot="1">
      <c r="B9" s="926"/>
      <c r="C9" s="465" t="s">
        <v>276</v>
      </c>
      <c r="D9" s="471">
        <v>0</v>
      </c>
      <c r="E9" s="471">
        <v>1</v>
      </c>
      <c r="F9" s="476">
        <v>1</v>
      </c>
      <c r="G9" s="471">
        <v>1</v>
      </c>
      <c r="H9" s="471">
        <v>1</v>
      </c>
      <c r="I9" s="476">
        <v>1</v>
      </c>
      <c r="J9" s="471">
        <v>1</v>
      </c>
      <c r="K9" s="476">
        <v>1</v>
      </c>
      <c r="L9" s="476"/>
      <c r="M9" s="476"/>
      <c r="N9" s="476"/>
      <c r="O9" s="471"/>
      <c r="P9" s="476"/>
      <c r="Q9" s="471"/>
      <c r="S9" s="489" t="s">
        <v>279</v>
      </c>
      <c r="T9" s="490">
        <v>1100000</v>
      </c>
    </row>
    <row r="10" spans="2:17" ht="14.25" thickBot="1">
      <c r="B10" s="927"/>
      <c r="C10" s="467" t="s">
        <v>277</v>
      </c>
      <c r="D10" s="474">
        <v>0</v>
      </c>
      <c r="E10" s="474">
        <v>1</v>
      </c>
      <c r="F10" s="472">
        <v>1</v>
      </c>
      <c r="G10" s="474">
        <v>1</v>
      </c>
      <c r="H10" s="474">
        <v>1</v>
      </c>
      <c r="I10" s="472">
        <v>1</v>
      </c>
      <c r="J10" s="474">
        <v>1</v>
      </c>
      <c r="K10" s="472">
        <v>2</v>
      </c>
      <c r="L10" s="472"/>
      <c r="M10" s="472"/>
      <c r="N10" s="472"/>
      <c r="O10" s="474"/>
      <c r="P10" s="472"/>
      <c r="Q10" s="485"/>
    </row>
    <row r="11" spans="2:19" ht="15" thickBot="1" thickTop="1">
      <c r="B11" s="928" t="s">
        <v>272</v>
      </c>
      <c r="C11" s="468" t="s">
        <v>275</v>
      </c>
      <c r="D11" s="473"/>
      <c r="E11" s="473"/>
      <c r="F11" s="477"/>
      <c r="G11" s="473"/>
      <c r="H11" s="473"/>
      <c r="I11" s="477"/>
      <c r="J11" s="473"/>
      <c r="K11" s="477">
        <v>0</v>
      </c>
      <c r="L11" s="477"/>
      <c r="M11" s="477"/>
      <c r="N11" s="477"/>
      <c r="O11" s="473"/>
      <c r="P11" s="477"/>
      <c r="Q11" s="483"/>
      <c r="S11" s="491" t="s">
        <v>281</v>
      </c>
    </row>
    <row r="12" spans="2:20" ht="13.5">
      <c r="B12" s="929"/>
      <c r="C12" s="466" t="s">
        <v>250</v>
      </c>
      <c r="D12" s="470">
        <v>0</v>
      </c>
      <c r="E12" s="470">
        <v>0</v>
      </c>
      <c r="F12" s="475">
        <v>0</v>
      </c>
      <c r="G12" s="470">
        <v>0</v>
      </c>
      <c r="H12" s="470">
        <v>0</v>
      </c>
      <c r="I12" s="475">
        <v>0</v>
      </c>
      <c r="J12" s="470">
        <v>0</v>
      </c>
      <c r="K12" s="475">
        <v>0</v>
      </c>
      <c r="L12" s="475"/>
      <c r="M12" s="475"/>
      <c r="N12" s="475"/>
      <c r="O12" s="470"/>
      <c r="P12" s="475"/>
      <c r="Q12" s="471"/>
      <c r="S12" s="487" t="s">
        <v>282</v>
      </c>
      <c r="T12" s="493">
        <v>0.5</v>
      </c>
    </row>
    <row r="13" spans="2:20" ht="14.25" thickBot="1">
      <c r="B13" s="926"/>
      <c r="C13" s="465" t="s">
        <v>276</v>
      </c>
      <c r="D13" s="470">
        <v>1</v>
      </c>
      <c r="E13" s="470">
        <v>0</v>
      </c>
      <c r="F13" s="475">
        <v>0</v>
      </c>
      <c r="G13" s="470">
        <v>0</v>
      </c>
      <c r="H13" s="470">
        <v>0</v>
      </c>
      <c r="I13" s="475">
        <v>0</v>
      </c>
      <c r="J13" s="470">
        <v>1</v>
      </c>
      <c r="K13" s="475">
        <v>1</v>
      </c>
      <c r="L13" s="475"/>
      <c r="M13" s="475"/>
      <c r="N13" s="475"/>
      <c r="O13" s="470"/>
      <c r="P13" s="475"/>
      <c r="Q13" s="486"/>
      <c r="S13" s="489" t="s">
        <v>283</v>
      </c>
      <c r="T13" s="494">
        <v>0.3</v>
      </c>
    </row>
    <row r="14" spans="2:17" ht="14.25" thickBot="1">
      <c r="B14" s="927"/>
      <c r="C14" s="467" t="s">
        <v>277</v>
      </c>
      <c r="D14" s="474">
        <v>1</v>
      </c>
      <c r="E14" s="474">
        <v>0</v>
      </c>
      <c r="F14" s="472"/>
      <c r="G14" s="474">
        <v>0</v>
      </c>
      <c r="H14" s="474">
        <v>0</v>
      </c>
      <c r="I14" s="472">
        <v>0</v>
      </c>
      <c r="J14" s="474">
        <v>0</v>
      </c>
      <c r="K14" s="472">
        <v>0</v>
      </c>
      <c r="L14" s="472"/>
      <c r="M14" s="472"/>
      <c r="N14" s="472"/>
      <c r="O14" s="474"/>
      <c r="P14" s="472"/>
      <c r="Q14" s="474"/>
    </row>
    <row r="15" spans="2:17" ht="14.25" thickTop="1">
      <c r="B15" s="928" t="s">
        <v>273</v>
      </c>
      <c r="C15" s="468" t="s">
        <v>275</v>
      </c>
      <c r="D15" s="473"/>
      <c r="E15" s="473"/>
      <c r="F15" s="477"/>
      <c r="G15" s="473"/>
      <c r="H15" s="473"/>
      <c r="I15" s="477"/>
      <c r="J15" s="473"/>
      <c r="K15" s="477"/>
      <c r="L15" s="477"/>
      <c r="M15" s="477"/>
      <c r="N15" s="477"/>
      <c r="O15" s="473"/>
      <c r="P15" s="477"/>
      <c r="Q15" s="483"/>
    </row>
    <row r="16" spans="2:17" ht="13.5">
      <c r="B16" s="929"/>
      <c r="C16" s="466" t="s">
        <v>250</v>
      </c>
      <c r="D16" s="470">
        <v>0</v>
      </c>
      <c r="E16" s="470">
        <v>0</v>
      </c>
      <c r="F16" s="475">
        <v>0</v>
      </c>
      <c r="G16" s="470">
        <v>0</v>
      </c>
      <c r="H16" s="470">
        <v>0</v>
      </c>
      <c r="I16" s="475">
        <v>0</v>
      </c>
      <c r="J16" s="470">
        <v>0</v>
      </c>
      <c r="K16" s="475">
        <v>0</v>
      </c>
      <c r="L16" s="475"/>
      <c r="M16" s="475"/>
      <c r="N16" s="475"/>
      <c r="O16" s="470"/>
      <c r="P16" s="475"/>
      <c r="Q16" s="471"/>
    </row>
    <row r="17" spans="2:17" ht="13.5">
      <c r="B17" s="926"/>
      <c r="C17" s="465" t="s">
        <v>276</v>
      </c>
      <c r="D17" s="471">
        <v>2</v>
      </c>
      <c r="E17" s="471">
        <v>2</v>
      </c>
      <c r="F17" s="476">
        <v>2</v>
      </c>
      <c r="G17" s="471">
        <v>2</v>
      </c>
      <c r="H17" s="471">
        <v>2</v>
      </c>
      <c r="I17" s="476">
        <v>2</v>
      </c>
      <c r="J17" s="471">
        <v>0</v>
      </c>
      <c r="K17" s="476">
        <v>0</v>
      </c>
      <c r="L17" s="476"/>
      <c r="M17" s="476"/>
      <c r="N17" s="476"/>
      <c r="O17" s="471"/>
      <c r="P17" s="476"/>
      <c r="Q17" s="471"/>
    </row>
    <row r="18" spans="2:17" ht="14.25" thickBot="1">
      <c r="B18" s="927"/>
      <c r="C18" s="467" t="s">
        <v>277</v>
      </c>
      <c r="D18" s="485">
        <v>1</v>
      </c>
      <c r="E18" s="485">
        <v>1</v>
      </c>
      <c r="F18" s="495">
        <v>1</v>
      </c>
      <c r="G18" s="485">
        <v>1</v>
      </c>
      <c r="H18" s="485">
        <v>1</v>
      </c>
      <c r="I18" s="495">
        <v>1</v>
      </c>
      <c r="J18" s="485">
        <v>0</v>
      </c>
      <c r="K18" s="495">
        <v>0</v>
      </c>
      <c r="L18" s="495"/>
      <c r="M18" s="495"/>
      <c r="N18" s="495"/>
      <c r="O18" s="485"/>
      <c r="P18" s="495"/>
      <c r="Q18" s="486"/>
    </row>
    <row r="19" spans="3:17" ht="15" thickBot="1" thickTop="1">
      <c r="C19" s="492" t="s">
        <v>286</v>
      </c>
      <c r="D19" s="484">
        <f aca="true" t="shared" si="0" ref="D19:P19">SUM(D7:D18)</f>
        <v>6</v>
      </c>
      <c r="E19" s="484">
        <f t="shared" si="0"/>
        <v>6</v>
      </c>
      <c r="F19" s="484">
        <f t="shared" si="0"/>
        <v>6</v>
      </c>
      <c r="G19" s="484">
        <f t="shared" si="0"/>
        <v>6</v>
      </c>
      <c r="H19" s="484">
        <f t="shared" si="0"/>
        <v>6</v>
      </c>
      <c r="I19" s="484">
        <f t="shared" si="0"/>
        <v>6</v>
      </c>
      <c r="J19" s="484">
        <f t="shared" si="0"/>
        <v>4</v>
      </c>
      <c r="K19" s="484">
        <f t="shared" si="0"/>
        <v>5</v>
      </c>
      <c r="L19" s="484"/>
      <c r="M19" s="484">
        <f t="shared" si="0"/>
        <v>0</v>
      </c>
      <c r="N19" s="484">
        <f t="shared" si="0"/>
        <v>0</v>
      </c>
      <c r="O19" s="484">
        <f t="shared" si="0"/>
        <v>0</v>
      </c>
      <c r="P19" s="484">
        <f t="shared" si="0"/>
        <v>0</v>
      </c>
      <c r="Q19" s="500">
        <f>SUM(D19:P19)</f>
        <v>45</v>
      </c>
    </row>
    <row r="20" spans="2:17" ht="14.25" thickBot="1">
      <c r="B20" s="499" t="s">
        <v>285</v>
      </c>
      <c r="C20" s="492" t="s">
        <v>275</v>
      </c>
      <c r="D20" s="501">
        <f>(D7*$T$7*$T$13)+D11*$T$8*$T$13+D15*$T$9*$T$13</f>
        <v>0</v>
      </c>
      <c r="E20" s="501">
        <f aca="true" t="shared" si="1" ref="E20:K20">(E7*$T$7*$T$13)+E11*$T$8*$T$13+E15*$T$9*$T$13</f>
        <v>0</v>
      </c>
      <c r="F20" s="501">
        <f t="shared" si="1"/>
        <v>0</v>
      </c>
      <c r="G20" s="501">
        <f t="shared" si="1"/>
        <v>0</v>
      </c>
      <c r="H20" s="501">
        <f t="shared" si="1"/>
        <v>0</v>
      </c>
      <c r="I20" s="501">
        <f t="shared" si="1"/>
        <v>0</v>
      </c>
      <c r="J20" s="501">
        <f t="shared" si="1"/>
        <v>0</v>
      </c>
      <c r="K20" s="501">
        <f t="shared" si="1"/>
        <v>0</v>
      </c>
      <c r="L20" s="501">
        <f>(L7*$T$7*$T$13)+L11*$T$8*$T$13+L15*$T$9*$T$13</f>
        <v>0</v>
      </c>
      <c r="M20" s="501">
        <f>(M7*$T$7*$T$13)+M11*$T$8*$T$13+M15*$T$9*$T$13</f>
        <v>0</v>
      </c>
      <c r="N20" s="501">
        <f>(N7*$T$7*$T$13)+N11*$T$8*$T$13+N15*$T$9*$T$13</f>
        <v>0</v>
      </c>
      <c r="O20" s="501">
        <f>(O7*$T$7*$T$13)+O11*$T$8*$T$13+O15*$T$9*$T$13</f>
        <v>0</v>
      </c>
      <c r="P20" s="501">
        <f>(P7*$T$7*$T$13)+P11*$T$8*$T$13+P15*$T$9*$T$13</f>
        <v>0</v>
      </c>
      <c r="Q20" s="500">
        <f>SUM(D20:P20)</f>
        <v>0</v>
      </c>
    </row>
    <row r="21" spans="3:17" ht="14.25" thickBot="1">
      <c r="C21" s="492" t="s">
        <v>250</v>
      </c>
      <c r="D21" s="501">
        <f>(D8*$T$7*$T$13)+D12*$T$8*$T$13+D16*$T$9*$T$13</f>
        <v>600000</v>
      </c>
      <c r="E21" s="501">
        <f aca="true" t="shared" si="2" ref="E21:K21">(E8*$T$7*$T$13)+E12*$T$8*$T$13+E16*$T$9*$T$13</f>
        <v>600000</v>
      </c>
      <c r="F21" s="501">
        <f t="shared" si="2"/>
        <v>600000</v>
      </c>
      <c r="G21" s="501">
        <f t="shared" si="2"/>
        <v>600000</v>
      </c>
      <c r="H21" s="501">
        <f t="shared" si="2"/>
        <v>600000</v>
      </c>
      <c r="I21" s="501">
        <f t="shared" si="2"/>
        <v>600000</v>
      </c>
      <c r="J21" s="501">
        <f t="shared" si="2"/>
        <v>600000</v>
      </c>
      <c r="K21" s="501">
        <f t="shared" si="2"/>
        <v>600000</v>
      </c>
      <c r="L21" s="501">
        <f>(L8*$T$7*$T$12)+L12*$T$8*$T$12+L16*$T$9*$T$13</f>
        <v>0</v>
      </c>
      <c r="M21" s="501">
        <f>(M8*$T$7*$T$12)+M12*$T$8*$T$12+M16*$T$9*$T$13</f>
        <v>0</v>
      </c>
      <c r="N21" s="501">
        <f>(N8*$T$7*$T$12)+N12*$T$8*$T$12+N16*$T$9*$T$13</f>
        <v>0</v>
      </c>
      <c r="O21" s="501">
        <f>(O8*$T$7*$T$12)+O12*$T$8*$T$12+O16*$T$9*$T$13</f>
        <v>0</v>
      </c>
      <c r="P21" s="501">
        <f>P8*$T$7*AF12</f>
        <v>0</v>
      </c>
      <c r="Q21" s="500">
        <f>SUM(D21:P21)</f>
        <v>4800000</v>
      </c>
    </row>
    <row r="22" spans="3:17" ht="14.25" thickBot="1">
      <c r="C22" s="492" t="s">
        <v>276</v>
      </c>
      <c r="D22" s="501">
        <f>(D9*$T$7*$T$13)+D13*$T$8*$T$12+D17*$T$9*$T$12</f>
        <v>1850000</v>
      </c>
      <c r="E22" s="501">
        <f aca="true" t="shared" si="3" ref="E22:K22">(E9*$T$7*$T$13)+E13*$T$8*$T$12+E17*$T$9*$T$12</f>
        <v>1700000</v>
      </c>
      <c r="F22" s="501">
        <f t="shared" si="3"/>
        <v>1700000</v>
      </c>
      <c r="G22" s="501">
        <f t="shared" si="3"/>
        <v>1700000</v>
      </c>
      <c r="H22" s="501">
        <f t="shared" si="3"/>
        <v>1700000</v>
      </c>
      <c r="I22" s="501">
        <f t="shared" si="3"/>
        <v>1700000</v>
      </c>
      <c r="J22" s="501">
        <f t="shared" si="3"/>
        <v>1350000</v>
      </c>
      <c r="K22" s="501">
        <f t="shared" si="3"/>
        <v>1350000</v>
      </c>
      <c r="L22" s="501">
        <f aca="true" t="shared" si="4" ref="L22:O23">(L9*$T$7*$T$13)+L13*$T$8*$T$12+L17*$T$9*$T$13</f>
        <v>0</v>
      </c>
      <c r="M22" s="501">
        <f t="shared" si="4"/>
        <v>0</v>
      </c>
      <c r="N22" s="501">
        <f t="shared" si="4"/>
        <v>0</v>
      </c>
      <c r="O22" s="501">
        <f t="shared" si="4"/>
        <v>0</v>
      </c>
      <c r="P22" s="501">
        <f>P9*$T$7*AF12+P17*$T$9*AF12</f>
        <v>0</v>
      </c>
      <c r="Q22" s="500">
        <f>SUM(D22:P22)</f>
        <v>13050000</v>
      </c>
    </row>
    <row r="23" spans="3:17" ht="14.25" thickBot="1">
      <c r="C23" s="492" t="s">
        <v>277</v>
      </c>
      <c r="D23" s="501">
        <f>(D10*$T$7*$T$13)+D14*$T$8*$T$12+D18*$T$9*$T$12</f>
        <v>1300000</v>
      </c>
      <c r="E23" s="501">
        <f aca="true" t="shared" si="5" ref="E23:K23">(E10*$T$7*$T$13)+E14*$T$8*$T$12+E18*$T$9*$T$12</f>
        <v>1150000</v>
      </c>
      <c r="F23" s="501">
        <f t="shared" si="5"/>
        <v>1150000</v>
      </c>
      <c r="G23" s="501">
        <f t="shared" si="5"/>
        <v>1150000</v>
      </c>
      <c r="H23" s="501">
        <f t="shared" si="5"/>
        <v>1150000</v>
      </c>
      <c r="I23" s="501">
        <f t="shared" si="5"/>
        <v>1150000</v>
      </c>
      <c r="J23" s="501">
        <f t="shared" si="5"/>
        <v>600000</v>
      </c>
      <c r="K23" s="501">
        <f t="shared" si="5"/>
        <v>1200000</v>
      </c>
      <c r="L23" s="501">
        <f t="shared" si="4"/>
        <v>0</v>
      </c>
      <c r="M23" s="501">
        <f t="shared" si="4"/>
        <v>0</v>
      </c>
      <c r="N23" s="501">
        <f t="shared" si="4"/>
        <v>0</v>
      </c>
      <c r="O23" s="501">
        <f t="shared" si="4"/>
        <v>0</v>
      </c>
      <c r="P23" s="501">
        <f>P10*$T$7*AF12+P18*$T$9*AF12</f>
        <v>0</v>
      </c>
      <c r="Q23" s="503">
        <f>SUM(D23:P23)</f>
        <v>8850000</v>
      </c>
    </row>
    <row r="24" spans="3:17" ht="14.25" thickBot="1">
      <c r="C24" s="492" t="s">
        <v>287</v>
      </c>
      <c r="D24" s="500">
        <f>SUM(D20:D23)</f>
        <v>3750000</v>
      </c>
      <c r="E24" s="500">
        <f aca="true" t="shared" si="6" ref="E24:Q24">SUM(E20:E23)</f>
        <v>3450000</v>
      </c>
      <c r="F24" s="500">
        <f t="shared" si="6"/>
        <v>3450000</v>
      </c>
      <c r="G24" s="500">
        <f t="shared" si="6"/>
        <v>3450000</v>
      </c>
      <c r="H24" s="500">
        <f t="shared" si="6"/>
        <v>3450000</v>
      </c>
      <c r="I24" s="500">
        <f t="shared" si="6"/>
        <v>3450000</v>
      </c>
      <c r="J24" s="500">
        <f t="shared" si="6"/>
        <v>2550000</v>
      </c>
      <c r="K24" s="500">
        <f t="shared" si="6"/>
        <v>3150000</v>
      </c>
      <c r="L24" s="500">
        <f t="shared" si="6"/>
        <v>0</v>
      </c>
      <c r="M24" s="500">
        <f t="shared" si="6"/>
        <v>0</v>
      </c>
      <c r="N24" s="500">
        <f t="shared" si="6"/>
        <v>0</v>
      </c>
      <c r="O24" s="500">
        <f t="shared" si="6"/>
        <v>0</v>
      </c>
      <c r="P24" s="502">
        <f t="shared" si="6"/>
        <v>0</v>
      </c>
      <c r="Q24" s="504">
        <f t="shared" si="6"/>
        <v>26700000</v>
      </c>
    </row>
    <row r="26" spans="4:17" ht="13.5">
      <c r="D26" s="930" t="s">
        <v>344</v>
      </c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</row>
  </sheetData>
  <sheetProtection/>
  <mergeCells count="4">
    <mergeCell ref="B7:B10"/>
    <mergeCell ref="B11:B14"/>
    <mergeCell ref="B15:B18"/>
    <mergeCell ref="D26:Q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5"/>
  <sheetViews>
    <sheetView tabSelected="1" zoomScale="85" zoomScaleNormal="85" zoomScalePageLayoutView="0" workbookViewId="0" topLeftCell="A1">
      <selection activeCell="L2" sqref="L2"/>
    </sheetView>
  </sheetViews>
  <sheetFormatPr defaultColWidth="9.00390625" defaultRowHeight="13.5"/>
  <cols>
    <col min="1" max="1" width="2.625" style="0" customWidth="1"/>
    <col min="2" max="2" width="7.375" style="0" customWidth="1"/>
    <col min="3" max="3" width="12.75390625" style="0" customWidth="1"/>
    <col min="4" max="4" width="13.25390625" style="0" customWidth="1"/>
    <col min="5" max="8" width="13.875" style="0" bestFit="1" customWidth="1"/>
    <col min="9" max="9" width="9.25390625" style="0" customWidth="1"/>
    <col min="10" max="10" width="10.50390625" style="0" customWidth="1"/>
    <col min="11" max="11" width="13.75390625" style="0" customWidth="1"/>
    <col min="12" max="12" width="14.00390625" style="0" customWidth="1"/>
    <col min="13" max="15" width="13.875" style="0" bestFit="1" customWidth="1"/>
    <col min="16" max="16" width="15.00390625" style="0" bestFit="1" customWidth="1"/>
    <col min="19" max="19" width="19.375" style="0" bestFit="1" customWidth="1"/>
  </cols>
  <sheetData>
    <row r="1" ht="14.25" thickBot="1">
      <c r="G1" s="661"/>
    </row>
    <row r="2" spans="10:16" ht="16.5" customHeight="1" thickBot="1">
      <c r="J2" s="938" t="s">
        <v>345</v>
      </c>
      <c r="K2" s="598" t="s">
        <v>328</v>
      </c>
      <c r="L2" s="652">
        <f>'단가표 EUR(초기 1,000대)'!U10</f>
        <v>216.88198086956527</v>
      </c>
      <c r="N2" s="936" t="s">
        <v>357</v>
      </c>
      <c r="O2" s="598" t="s">
        <v>355</v>
      </c>
      <c r="P2" s="652">
        <f>'단가표 EUR(초기 1,000대)'!J7+'단가표 EUR(초기 1,000대)'!J8+'단가표 EUR(초기 1,000대)'!J9</f>
        <v>176086.9565217392</v>
      </c>
    </row>
    <row r="3" spans="2:16" ht="18.75" customHeight="1" thickBot="1">
      <c r="B3" s="940" t="s">
        <v>358</v>
      </c>
      <c r="C3" s="941"/>
      <c r="D3" s="941"/>
      <c r="E3" s="941"/>
      <c r="F3" s="941"/>
      <c r="G3" s="941"/>
      <c r="H3" s="942"/>
      <c r="J3" s="939"/>
      <c r="K3" s="599" t="s">
        <v>329</v>
      </c>
      <c r="L3" s="653">
        <f>'단가표 EUR(이후)'!U9</f>
        <v>40.795024347826086</v>
      </c>
      <c r="N3" s="937"/>
      <c r="O3" s="599" t="s">
        <v>356</v>
      </c>
      <c r="P3" s="653">
        <f>'단가표 EUR(이후)'!U9</f>
        <v>40.795024347826086</v>
      </c>
    </row>
    <row r="4" spans="2:8" ht="14.25" thickBot="1">
      <c r="B4" s="943" t="s">
        <v>327</v>
      </c>
      <c r="C4" s="944"/>
      <c r="D4" s="654">
        <v>0.1</v>
      </c>
      <c r="E4" s="654">
        <v>0.2</v>
      </c>
      <c r="F4" s="654">
        <v>0.3</v>
      </c>
      <c r="G4" s="654">
        <v>0.4</v>
      </c>
      <c r="H4" s="654">
        <v>0.5</v>
      </c>
    </row>
    <row r="5" spans="2:16" ht="13.5">
      <c r="B5" s="931" t="s">
        <v>291</v>
      </c>
      <c r="C5" s="598" t="s">
        <v>328</v>
      </c>
      <c r="D5" s="600">
        <v>453</v>
      </c>
      <c r="E5" s="600">
        <v>510</v>
      </c>
      <c r="F5" s="600">
        <v>582</v>
      </c>
      <c r="G5" s="600">
        <v>680</v>
      </c>
      <c r="H5" s="600">
        <v>815</v>
      </c>
      <c r="J5" s="936" t="s">
        <v>346</v>
      </c>
      <c r="K5" s="598" t="s">
        <v>328</v>
      </c>
      <c r="L5" s="652">
        <f>'단가표 EUR(초기 1,000대)'!U14</f>
        <v>265.882</v>
      </c>
      <c r="N5" s="938" t="s">
        <v>347</v>
      </c>
      <c r="O5" s="598" t="s">
        <v>328</v>
      </c>
      <c r="P5" s="652">
        <f>L5-L2</f>
        <v>49.00001913043474</v>
      </c>
    </row>
    <row r="6" spans="2:16" ht="14.25" thickBot="1">
      <c r="B6" s="932"/>
      <c r="C6" s="599" t="s">
        <v>329</v>
      </c>
      <c r="D6" s="601">
        <v>82</v>
      </c>
      <c r="E6" s="601">
        <v>92</v>
      </c>
      <c r="F6" s="601">
        <v>105</v>
      </c>
      <c r="G6" s="601">
        <v>117</v>
      </c>
      <c r="H6" s="601">
        <v>148</v>
      </c>
      <c r="J6" s="937"/>
      <c r="K6" s="599" t="s">
        <v>329</v>
      </c>
      <c r="L6" s="653">
        <f>'단가표 EUR(이후)'!U13</f>
        <v>45.795</v>
      </c>
      <c r="N6" s="939"/>
      <c r="O6" s="599" t="s">
        <v>329</v>
      </c>
      <c r="P6" s="653">
        <f>L6-L3</f>
        <v>4.999975652173916</v>
      </c>
    </row>
    <row r="7" ht="14.25" thickBot="1"/>
    <row r="8" spans="10:12" ht="14.25" thickBot="1">
      <c r="J8" s="679" t="s">
        <v>361</v>
      </c>
      <c r="K8" s="680">
        <v>0.4</v>
      </c>
      <c r="L8" s="681"/>
    </row>
    <row r="10" spans="2:16" ht="17.25" thickBot="1">
      <c r="B10" s="934" t="s">
        <v>330</v>
      </c>
      <c r="C10" s="934"/>
      <c r="D10" s="935"/>
      <c r="E10" s="935"/>
      <c r="F10" s="935"/>
      <c r="G10" s="935"/>
      <c r="H10" s="935"/>
      <c r="J10" s="934" t="s">
        <v>333</v>
      </c>
      <c r="K10" s="934"/>
      <c r="L10" s="935"/>
      <c r="M10" s="935"/>
      <c r="N10" s="935"/>
      <c r="O10" s="935"/>
      <c r="P10" s="935"/>
    </row>
    <row r="11" spans="2:16" ht="14.25" thickBot="1">
      <c r="B11" s="943" t="s">
        <v>331</v>
      </c>
      <c r="C11" s="944"/>
      <c r="D11" s="602">
        <v>0.1</v>
      </c>
      <c r="E11" s="602">
        <v>0.2</v>
      </c>
      <c r="F11" s="602">
        <v>0.3</v>
      </c>
      <c r="G11" s="602">
        <v>0.4</v>
      </c>
      <c r="H11" s="602">
        <v>0.5</v>
      </c>
      <c r="J11" s="943" t="s">
        <v>331</v>
      </c>
      <c r="K11" s="944"/>
      <c r="L11" s="602">
        <v>0.1</v>
      </c>
      <c r="M11" s="602">
        <v>0.2</v>
      </c>
      <c r="N11" s="602">
        <v>0.3</v>
      </c>
      <c r="O11" s="602">
        <v>0.4</v>
      </c>
      <c r="P11" s="602">
        <v>0.5</v>
      </c>
    </row>
    <row r="12" spans="2:19" ht="13.5">
      <c r="B12" s="931" t="s">
        <v>291</v>
      </c>
      <c r="C12" s="603">
        <v>1000</v>
      </c>
      <c r="D12" s="606">
        <f>(D5*C12)/C12</f>
        <v>453</v>
      </c>
      <c r="E12" s="606">
        <f>(E5*D12)/D12</f>
        <v>510</v>
      </c>
      <c r="F12" s="606">
        <f>(F5*E12)/E12</f>
        <v>582</v>
      </c>
      <c r="G12" s="606">
        <f>(G5*F12)/F12</f>
        <v>680</v>
      </c>
      <c r="H12" s="606">
        <f>(H5*G12)/G12</f>
        <v>815</v>
      </c>
      <c r="J12" s="931" t="s">
        <v>312</v>
      </c>
      <c r="K12" s="603">
        <v>1000</v>
      </c>
      <c r="L12" s="608">
        <f>D12*0.6</f>
        <v>271.8</v>
      </c>
      <c r="M12" s="608">
        <f>E12*0.6</f>
        <v>306</v>
      </c>
      <c r="N12" s="608">
        <f>F12*0.6</f>
        <v>349.2</v>
      </c>
      <c r="O12" s="608">
        <f>G12*0.6</f>
        <v>408</v>
      </c>
      <c r="P12" s="608">
        <f>H12*0.6</f>
        <v>489</v>
      </c>
      <c r="S12" s="661"/>
    </row>
    <row r="13" spans="2:16" ht="13.5">
      <c r="B13" s="933"/>
      <c r="C13" s="604">
        <v>11000</v>
      </c>
      <c r="D13" s="606">
        <f>((D$5*$C$12)+(($C$13-$C$12)*D$6))/$C$13</f>
        <v>115.72727272727273</v>
      </c>
      <c r="E13" s="606">
        <f>((E$5*$C$12)+(($C$13-$C$12)*E$6))/$C$13</f>
        <v>130</v>
      </c>
      <c r="F13" s="606">
        <f>((F$5*$C$12)+(($C$13-$C$12)*F$6))/$C$13</f>
        <v>148.36363636363637</v>
      </c>
      <c r="G13" s="606">
        <f>((G$5*$C$12)+(($C$13-$C$12)*G$6))/$C$13</f>
        <v>168.1818181818182</v>
      </c>
      <c r="H13" s="606">
        <f>((H$5*$C$12)+(($C$13-$C$12)*H$6))/$C$13</f>
        <v>208.63636363636363</v>
      </c>
      <c r="J13" s="933"/>
      <c r="K13" s="604">
        <v>11000</v>
      </c>
      <c r="L13" s="606">
        <f aca="true" t="shared" si="0" ref="L13:L22">D13*0.6</f>
        <v>69.43636363636364</v>
      </c>
      <c r="M13" s="606">
        <f aca="true" t="shared" si="1" ref="M13:M22">E13*0.6</f>
        <v>78</v>
      </c>
      <c r="N13" s="606">
        <f aca="true" t="shared" si="2" ref="N13:N22">F13*0.6</f>
        <v>89.01818181818182</v>
      </c>
      <c r="O13" s="606">
        <f aca="true" t="shared" si="3" ref="O13:O22">G13*0.6</f>
        <v>100.9090909090909</v>
      </c>
      <c r="P13" s="606">
        <f aca="true" t="shared" si="4" ref="P13:P22">H13*0.6</f>
        <v>125.18181818181817</v>
      </c>
    </row>
    <row r="14" spans="2:19" ht="13.5">
      <c r="B14" s="933"/>
      <c r="C14" s="604">
        <v>21000</v>
      </c>
      <c r="D14" s="606">
        <f>((D$5*$C$12)+(($C$14-$C$12)*D$6))/$C$14</f>
        <v>99.66666666666667</v>
      </c>
      <c r="E14" s="673">
        <f>((E$5*$C$12)+(($C$14-$C$12)*E$6))/$C$14</f>
        <v>111.9047619047619</v>
      </c>
      <c r="F14" s="606">
        <f>((F$5*$C$12)+(($C$14-$C$12)*F$6))/$C$14</f>
        <v>127.71428571428571</v>
      </c>
      <c r="G14" s="606">
        <f>((G$5*$C$12)+(($C$14-$C$12)*G$6))/$C$14</f>
        <v>143.8095238095238</v>
      </c>
      <c r="H14" s="606">
        <f>((H$5*$C$12)+(($C$14-$C$12)*H$6))/$C$14</f>
        <v>179.76190476190476</v>
      </c>
      <c r="J14" s="933"/>
      <c r="K14" s="604">
        <v>21000</v>
      </c>
      <c r="L14" s="606">
        <f t="shared" si="0"/>
        <v>59.8</v>
      </c>
      <c r="M14" s="673">
        <f t="shared" si="1"/>
        <v>67.14285714285714</v>
      </c>
      <c r="N14" s="606">
        <f t="shared" si="2"/>
        <v>76.62857142857142</v>
      </c>
      <c r="O14" s="606">
        <f t="shared" si="3"/>
        <v>86.28571428571428</v>
      </c>
      <c r="P14" s="606">
        <f t="shared" si="4"/>
        <v>107.85714285714285</v>
      </c>
      <c r="S14" s="661"/>
    </row>
    <row r="15" spans="2:19" ht="13.5">
      <c r="B15" s="933"/>
      <c r="C15" s="604">
        <v>31000</v>
      </c>
      <c r="D15" s="606">
        <f>((D$5*$C$12)+(($C$15-$C$12)*D$6))/$C$15</f>
        <v>93.96774193548387</v>
      </c>
      <c r="E15" s="606">
        <f>((E$5*$C$12)+(($C$15-$C$12)*E$6))/$C$15</f>
        <v>105.48387096774194</v>
      </c>
      <c r="F15" s="673">
        <f>((F$5*$C$12)+(($C$15-$C$12)*F$6))/$C$15</f>
        <v>120.38709677419355</v>
      </c>
      <c r="G15" s="606">
        <f>((G$5*$C$12)+(($C$15-$C$12)*G$6))/$C$15</f>
        <v>135.16129032258064</v>
      </c>
      <c r="H15" s="606">
        <f>((H$5*$C$12)+(($C$15-$C$12)*H$6))/$C$15</f>
        <v>169.51612903225808</v>
      </c>
      <c r="J15" s="933"/>
      <c r="K15" s="604">
        <v>31000</v>
      </c>
      <c r="L15" s="606">
        <f t="shared" si="0"/>
        <v>56.380645161290325</v>
      </c>
      <c r="M15" s="606">
        <f t="shared" si="1"/>
        <v>63.29032258064516</v>
      </c>
      <c r="N15" s="673">
        <f t="shared" si="2"/>
        <v>72.23225806451613</v>
      </c>
      <c r="O15" s="606">
        <f t="shared" si="3"/>
        <v>81.09677419354838</v>
      </c>
      <c r="P15" s="606">
        <f t="shared" si="4"/>
        <v>101.70967741935485</v>
      </c>
      <c r="S15" s="691"/>
    </row>
    <row r="16" spans="2:19" ht="13.5">
      <c r="B16" s="933"/>
      <c r="C16" s="604">
        <v>41000</v>
      </c>
      <c r="D16" s="606">
        <f>((D$5*$C$12)+(($C$16-$C$12)*D$6))/$C$16</f>
        <v>91.04878048780488</v>
      </c>
      <c r="E16" s="606">
        <f>((E$5*$C$12)+(($C$16-$C$12)*E$6))/$C$16</f>
        <v>102.1951219512195</v>
      </c>
      <c r="F16" s="606">
        <f>((F$5*$C$12)+(($C$16-$C$12)*F$6))/$C$16</f>
        <v>116.63414634146342</v>
      </c>
      <c r="G16" s="606">
        <f>((G$5*$C$12)+(($C$16-$C$12)*G$6))/$C$16</f>
        <v>130.73170731707316</v>
      </c>
      <c r="H16" s="606">
        <f>((H$5*$C$12)+(($C$16-$C$12)*H$6))/$C$16</f>
        <v>164.26829268292684</v>
      </c>
      <c r="J16" s="933"/>
      <c r="K16" s="604">
        <v>41000</v>
      </c>
      <c r="L16" s="606">
        <f t="shared" si="0"/>
        <v>54.62926829268292</v>
      </c>
      <c r="M16" s="606">
        <f t="shared" si="1"/>
        <v>61.3170731707317</v>
      </c>
      <c r="N16" s="606">
        <f t="shared" si="2"/>
        <v>69.98048780487805</v>
      </c>
      <c r="O16" s="606">
        <f t="shared" si="3"/>
        <v>78.43902439024389</v>
      </c>
      <c r="P16" s="606">
        <f t="shared" si="4"/>
        <v>98.5609756097561</v>
      </c>
      <c r="S16" s="692"/>
    </row>
    <row r="17" spans="2:16" ht="13.5">
      <c r="B17" s="933"/>
      <c r="C17" s="604">
        <v>51000</v>
      </c>
      <c r="D17" s="606">
        <f>((D$5*$C$12)+(($C$17-$C$12)*D$6))/$C$17</f>
        <v>89.27450980392157</v>
      </c>
      <c r="E17" s="606">
        <f>((E$5*$C$12)+(($C$17-$C$12)*E$6))/$C$17</f>
        <v>100.19607843137256</v>
      </c>
      <c r="F17" s="606">
        <f>((F$5*$C$12)+(($C$17-$C$12)*F$6))/$C$17</f>
        <v>114.3529411764706</v>
      </c>
      <c r="G17" s="606">
        <f>((G$5*$C$12)+(($C$17-$C$12)*G$6))/$C$17</f>
        <v>128.0392156862745</v>
      </c>
      <c r="H17" s="606">
        <f>((H$5*$C$12)+(($C$17-$C$12)*H$6))/$C$17</f>
        <v>161.07843137254903</v>
      </c>
      <c r="J17" s="933"/>
      <c r="K17" s="604">
        <v>51000</v>
      </c>
      <c r="L17" s="606">
        <f t="shared" si="0"/>
        <v>53.564705882352946</v>
      </c>
      <c r="M17" s="606">
        <f t="shared" si="1"/>
        <v>60.11764705882353</v>
      </c>
      <c r="N17" s="606">
        <f t="shared" si="2"/>
        <v>68.61176470588235</v>
      </c>
      <c r="O17" s="606">
        <f t="shared" si="3"/>
        <v>76.8235294117647</v>
      </c>
      <c r="P17" s="606">
        <f t="shared" si="4"/>
        <v>96.64705882352942</v>
      </c>
    </row>
    <row r="18" spans="2:19" ht="13.5">
      <c r="B18" s="933"/>
      <c r="C18" s="604">
        <v>61000</v>
      </c>
      <c r="D18" s="606">
        <f>((D$5*$C$12)+(($C$18-$C$12)*D$6))/$C$18</f>
        <v>88.08196721311475</v>
      </c>
      <c r="E18" s="606">
        <f>((E$5*$C$12)+(($C$18-$C$12)*E$6))/$C$18</f>
        <v>98.85245901639344</v>
      </c>
      <c r="F18" s="606">
        <f>((F$5*$C$12)+(($C$18-$C$12)*F$6))/$C$18</f>
        <v>112.81967213114754</v>
      </c>
      <c r="G18" s="606">
        <f>((G$5*$C$12)+(($C$18-$C$12)*G$6))/$C$18</f>
        <v>126.22950819672131</v>
      </c>
      <c r="H18" s="606">
        <f>((H$5*$C$12)+(($C$18-$C$12)*H$6))/$C$18</f>
        <v>158.9344262295082</v>
      </c>
      <c r="J18" s="933"/>
      <c r="K18" s="604">
        <v>61000</v>
      </c>
      <c r="L18" s="606">
        <f t="shared" si="0"/>
        <v>52.84918032786885</v>
      </c>
      <c r="M18" s="606">
        <f t="shared" si="1"/>
        <v>59.31147540983606</v>
      </c>
      <c r="N18" s="606">
        <f t="shared" si="2"/>
        <v>67.69180327868852</v>
      </c>
      <c r="O18" s="606">
        <f t="shared" si="3"/>
        <v>75.73770491803279</v>
      </c>
      <c r="P18" s="606">
        <f t="shared" si="4"/>
        <v>95.36065573770492</v>
      </c>
      <c r="S18" s="661"/>
    </row>
    <row r="19" spans="2:16" ht="13.5">
      <c r="B19" s="933"/>
      <c r="C19" s="604">
        <v>71000</v>
      </c>
      <c r="D19" s="606">
        <f>((D$5*$C$12)+(($C$19-$C$12)*D$6))/$C$19</f>
        <v>87.22535211267606</v>
      </c>
      <c r="E19" s="606">
        <f>((E$5*$C$12)+(($C$19-$C$12)*E$6))/$C$19</f>
        <v>97.88732394366197</v>
      </c>
      <c r="F19" s="606">
        <f>((F$5*$C$12)+(($C$19-$C$12)*F$6))/$C$19</f>
        <v>111.71830985915493</v>
      </c>
      <c r="G19" s="606">
        <f>((G$5*$C$12)+(($C$19-$C$12)*G$6))/$C$19</f>
        <v>124.92957746478874</v>
      </c>
      <c r="H19" s="606">
        <f>((H$5*$C$12)+(($C$19-$C$12)*H$6))/$C$19</f>
        <v>157.3943661971831</v>
      </c>
      <c r="J19" s="933"/>
      <c r="K19" s="604">
        <v>71000</v>
      </c>
      <c r="L19" s="606">
        <f t="shared" si="0"/>
        <v>52.33521126760564</v>
      </c>
      <c r="M19" s="606">
        <f t="shared" si="1"/>
        <v>58.73239436619718</v>
      </c>
      <c r="N19" s="606">
        <f t="shared" si="2"/>
        <v>67.03098591549295</v>
      </c>
      <c r="O19" s="606">
        <f t="shared" si="3"/>
        <v>74.95774647887323</v>
      </c>
      <c r="P19" s="606">
        <f t="shared" si="4"/>
        <v>94.43661971830986</v>
      </c>
    </row>
    <row r="20" spans="2:19" ht="13.5">
      <c r="B20" s="933"/>
      <c r="C20" s="604">
        <v>81000</v>
      </c>
      <c r="D20" s="606">
        <f>((D$5*$C$12)+(($C$20-$C$12)*D$6))/$C$20</f>
        <v>86.58024691358025</v>
      </c>
      <c r="E20" s="606">
        <f>((E$5*$C$12)+(($C$20-$C$12)*E$6))/$C$20</f>
        <v>97.1604938271605</v>
      </c>
      <c r="F20" s="606">
        <f>((F$5*$C$12)+(($C$20-$C$12)*F$6))/$C$20</f>
        <v>110.88888888888889</v>
      </c>
      <c r="G20" s="606">
        <f>((G$5*$C$12)+(($C$20-$C$12)*G$6))/$C$20</f>
        <v>123.95061728395062</v>
      </c>
      <c r="H20" s="606">
        <f>((H$5*$C$12)+(($C$20-$C$12)*H$6))/$C$20</f>
        <v>156.23456790123456</v>
      </c>
      <c r="J20" s="933"/>
      <c r="K20" s="604">
        <v>81000</v>
      </c>
      <c r="L20" s="606">
        <f t="shared" si="0"/>
        <v>51.94814814814815</v>
      </c>
      <c r="M20" s="606">
        <f t="shared" si="1"/>
        <v>58.29629629629629</v>
      </c>
      <c r="N20" s="606">
        <f t="shared" si="2"/>
        <v>66.53333333333333</v>
      </c>
      <c r="O20" s="606">
        <f t="shared" si="3"/>
        <v>74.37037037037037</v>
      </c>
      <c r="P20" s="606">
        <f t="shared" si="4"/>
        <v>93.74074074074073</v>
      </c>
      <c r="S20" s="692"/>
    </row>
    <row r="21" spans="2:19" ht="13.5">
      <c r="B21" s="933"/>
      <c r="C21" s="604">
        <v>91000</v>
      </c>
      <c r="D21" s="606">
        <f>((D$5*$C$12)+(($C$21-$C$12)*D$6))/$C$21</f>
        <v>86.07692307692308</v>
      </c>
      <c r="E21" s="606">
        <f>((E$5*$C$12)+(($C$21-$C$12)*E$6))/$C$21</f>
        <v>96.5934065934066</v>
      </c>
      <c r="F21" s="606">
        <f>((F$5*$C$12)+(($C$21-$C$12)*F$6))/$C$21</f>
        <v>110.24175824175825</v>
      </c>
      <c r="G21" s="606">
        <f>((G$5*$C$12)+(($C$21-$C$12)*G$6))/$C$21</f>
        <v>123.18681318681318</v>
      </c>
      <c r="H21" s="606">
        <f>((H$5*$C$12)+(($C$21-$C$12)*H$6))/$C$21</f>
        <v>155.32967032967034</v>
      </c>
      <c r="J21" s="933"/>
      <c r="K21" s="604">
        <v>91000</v>
      </c>
      <c r="L21" s="606">
        <f t="shared" si="0"/>
        <v>51.646153846153844</v>
      </c>
      <c r="M21" s="606">
        <f t="shared" si="1"/>
        <v>57.956043956043956</v>
      </c>
      <c r="N21" s="606">
        <f t="shared" si="2"/>
        <v>66.14505494505495</v>
      </c>
      <c r="O21" s="606">
        <f t="shared" si="3"/>
        <v>73.91208791208791</v>
      </c>
      <c r="P21" s="606">
        <f t="shared" si="4"/>
        <v>93.1978021978022</v>
      </c>
      <c r="S21" s="692"/>
    </row>
    <row r="22" spans="2:16" ht="14.25" thickBot="1">
      <c r="B22" s="932"/>
      <c r="C22" s="605">
        <v>101000</v>
      </c>
      <c r="D22" s="607">
        <f>((D$5*$C$12)+(($C$22-$C$12)*D$6))/$C$22</f>
        <v>85.67326732673267</v>
      </c>
      <c r="E22" s="607">
        <f>((E$5*$C$12)+(($C$22-$C$12)*E$6))/$C$22</f>
        <v>96.13861386138613</v>
      </c>
      <c r="F22" s="607">
        <f>((F$5*$C$12)+(($C$22-$C$12)*F$6))/$C$22</f>
        <v>109.72277227722772</v>
      </c>
      <c r="G22" s="607">
        <f>((G$5*$C$12)+(($C$22-$C$12)*G$6))/$C$22</f>
        <v>122.57425742574257</v>
      </c>
      <c r="H22" s="607">
        <f>((H$5*$C$12)+(($C$22-$C$12)*H$6))/$C$22</f>
        <v>154.6039603960396</v>
      </c>
      <c r="J22" s="932"/>
      <c r="K22" s="605">
        <v>101000</v>
      </c>
      <c r="L22" s="607">
        <f t="shared" si="0"/>
        <v>51.4039603960396</v>
      </c>
      <c r="M22" s="607">
        <f t="shared" si="1"/>
        <v>57.683168316831676</v>
      </c>
      <c r="N22" s="607">
        <f t="shared" si="2"/>
        <v>65.83366336633662</v>
      </c>
      <c r="O22" s="607">
        <f t="shared" si="3"/>
        <v>73.54455445544554</v>
      </c>
      <c r="P22" s="607">
        <f t="shared" si="4"/>
        <v>92.76237623762377</v>
      </c>
    </row>
    <row r="24" ht="13.5">
      <c r="S24" s="692"/>
    </row>
    <row r="26" spans="2:16" ht="17.25" thickBot="1">
      <c r="B26" s="934" t="s">
        <v>354</v>
      </c>
      <c r="C26" s="934"/>
      <c r="D26" s="935"/>
      <c r="E26" s="935"/>
      <c r="F26" s="935"/>
      <c r="G26" s="935"/>
      <c r="H26" s="935"/>
      <c r="J26" s="934" t="s">
        <v>332</v>
      </c>
      <c r="K26" s="934"/>
      <c r="L26" s="935"/>
      <c r="M26" s="935"/>
      <c r="N26" s="935"/>
      <c r="O26" s="935"/>
      <c r="P26" s="935"/>
    </row>
    <row r="27" spans="2:19" ht="14.25" thickBot="1">
      <c r="B27" s="943" t="s">
        <v>331</v>
      </c>
      <c r="C27" s="944"/>
      <c r="D27" s="613">
        <v>0.1</v>
      </c>
      <c r="E27" s="613">
        <v>0.2</v>
      </c>
      <c r="F27" s="613">
        <v>0.3</v>
      </c>
      <c r="G27" s="613">
        <v>0.4</v>
      </c>
      <c r="H27" s="663">
        <v>0.5</v>
      </c>
      <c r="J27" s="943" t="s">
        <v>331</v>
      </c>
      <c r="K27" s="944"/>
      <c r="L27" s="613">
        <v>0.1</v>
      </c>
      <c r="M27" s="613">
        <v>0.2</v>
      </c>
      <c r="N27" s="613">
        <v>0.3</v>
      </c>
      <c r="O27" s="613">
        <v>0.4</v>
      </c>
      <c r="P27" s="613">
        <v>0.5</v>
      </c>
      <c r="S27" s="691"/>
    </row>
    <row r="28" spans="2:16" ht="13.5">
      <c r="B28" s="945" t="s">
        <v>354</v>
      </c>
      <c r="C28" s="610">
        <v>1000</v>
      </c>
      <c r="D28" s="609">
        <f>L28-$P$2-($P$3*$C$28)</f>
        <v>54918.01913043472</v>
      </c>
      <c r="E28" s="609">
        <f>M28-$P$2-($P$3*$C$28)</f>
        <v>89118.01913043472</v>
      </c>
      <c r="F28" s="609">
        <f>N28-$P$2-($P$3*$C$28)</f>
        <v>132318.01913043472</v>
      </c>
      <c r="G28" s="609">
        <f>O28-$P$2-($P$3*$C$28)</f>
        <v>191118.01913043472</v>
      </c>
      <c r="H28" s="617">
        <f>P28-$P$2-($P$3*$C$28)</f>
        <v>272118.0191304347</v>
      </c>
      <c r="J28" s="931" t="s">
        <v>332</v>
      </c>
      <c r="K28" s="610">
        <v>1000</v>
      </c>
      <c r="L28" s="615">
        <f>L12*$K$28</f>
        <v>271800</v>
      </c>
      <c r="M28" s="615">
        <f>M12*$K$28</f>
        <v>306000</v>
      </c>
      <c r="N28" s="615">
        <f>N12*$K$28</f>
        <v>349200</v>
      </c>
      <c r="O28" s="615">
        <f>O12*$K$28</f>
        <v>408000</v>
      </c>
      <c r="P28" s="609">
        <f>P12*$K$28</f>
        <v>489000</v>
      </c>
    </row>
    <row r="29" spans="2:16" ht="13.5">
      <c r="B29" s="933"/>
      <c r="C29" s="611">
        <v>11000</v>
      </c>
      <c r="D29" s="620">
        <f>L29-$P$2-($P$3*$C$29)</f>
        <v>138967.7756521738</v>
      </c>
      <c r="E29" s="620">
        <f>M29-$P$2-($P$3*$C$29)</f>
        <v>233167.7756521738</v>
      </c>
      <c r="F29" s="620">
        <f>N29-$P$2-($P$3*$C$29)</f>
        <v>354367.7756521738</v>
      </c>
      <c r="G29" s="620">
        <f>O29-$P$2-($P$3*$C$29)</f>
        <v>485167.7756521738</v>
      </c>
      <c r="H29" s="622">
        <f>P29-$P$2-($P$3*$C$29)</f>
        <v>752167.7756521738</v>
      </c>
      <c r="J29" s="933"/>
      <c r="K29" s="611">
        <v>11000</v>
      </c>
      <c r="L29" s="618">
        <f>L13*$K$29</f>
        <v>763800</v>
      </c>
      <c r="M29" s="618">
        <f>M13*$K$29</f>
        <v>858000</v>
      </c>
      <c r="N29" s="618">
        <f>N13*$K$29</f>
        <v>979200</v>
      </c>
      <c r="O29" s="618">
        <f>O13*$K$29</f>
        <v>1110000</v>
      </c>
      <c r="P29" s="620">
        <f>P13*$K$29</f>
        <v>1377000</v>
      </c>
    </row>
    <row r="30" spans="2:16" ht="13.5">
      <c r="B30" s="933"/>
      <c r="C30" s="611">
        <v>21000</v>
      </c>
      <c r="D30" s="620">
        <f>L30-$P$2-($P$3*$C$30)</f>
        <v>223017.53217391297</v>
      </c>
      <c r="E30" s="675">
        <f>M30-$P$2-($P$3*$C$30)</f>
        <v>377217.532173913</v>
      </c>
      <c r="F30" s="620">
        <f>N30-$P$2-($P$3*$C$30)</f>
        <v>576417.5321739127</v>
      </c>
      <c r="G30" s="620">
        <f>O30-$P$2-($P$3*$C$30)</f>
        <v>779217.5321739127</v>
      </c>
      <c r="H30" s="622">
        <f>P30-$P$2-($P$3*$C$30)</f>
        <v>1232217.532173913</v>
      </c>
      <c r="J30" s="933"/>
      <c r="K30" s="611">
        <v>21000</v>
      </c>
      <c r="L30" s="618">
        <f>L14*$K$30</f>
        <v>1255800</v>
      </c>
      <c r="M30" s="674">
        <f>M14*$K$30</f>
        <v>1410000</v>
      </c>
      <c r="N30" s="618">
        <f>N14*$K$30</f>
        <v>1609199.9999999998</v>
      </c>
      <c r="O30" s="618">
        <f>O14*$K$30</f>
        <v>1811999.9999999998</v>
      </c>
      <c r="P30" s="620">
        <f>P14*$K$30</f>
        <v>2265000</v>
      </c>
    </row>
    <row r="31" spans="2:16" ht="13.5">
      <c r="B31" s="933"/>
      <c r="C31" s="611">
        <v>31000</v>
      </c>
      <c r="D31" s="620">
        <f>L31-$P$2-($P$3*$C$31)</f>
        <v>307067.28869565204</v>
      </c>
      <c r="E31" s="620">
        <f>M31-$P$2-($P$3*$C$31)</f>
        <v>521267.28869565204</v>
      </c>
      <c r="F31" s="675">
        <f>N31-$P$2-($P$3*$C$31)</f>
        <v>798467.288695652</v>
      </c>
      <c r="G31" s="620">
        <f>O31-$P$2-($P$3*$C$31)</f>
        <v>1073267.288695652</v>
      </c>
      <c r="H31" s="622">
        <f>P31-$P$2-($P$3*$C$31)</f>
        <v>1712267.2886956525</v>
      </c>
      <c r="J31" s="933"/>
      <c r="K31" s="611">
        <v>31000</v>
      </c>
      <c r="L31" s="618">
        <f>L15*$K$31</f>
        <v>1747800</v>
      </c>
      <c r="M31" s="618">
        <f>M15*$K$31</f>
        <v>1962000</v>
      </c>
      <c r="N31" s="674">
        <f>N15*$K$31</f>
        <v>2239200</v>
      </c>
      <c r="O31" s="618">
        <f>O15*$K$31</f>
        <v>2514000</v>
      </c>
      <c r="P31" s="620">
        <f>P15*$K$31</f>
        <v>3153000.0000000005</v>
      </c>
    </row>
    <row r="32" spans="2:16" ht="13.5">
      <c r="B32" s="933"/>
      <c r="C32" s="611">
        <v>41000</v>
      </c>
      <c r="D32" s="620">
        <f>L32-$P$2-($P$3*$C$32)</f>
        <v>391117.04521739134</v>
      </c>
      <c r="E32" s="620">
        <f>M32-$P$2-($P$3*$C$32)</f>
        <v>665317.0452173913</v>
      </c>
      <c r="F32" s="620">
        <f>N32-$P$2-($P$3*$C$32)</f>
        <v>1020517.0452173913</v>
      </c>
      <c r="G32" s="620">
        <f>O32-$P$2-($P$3*$C$32)</f>
        <v>1367317.0452173909</v>
      </c>
      <c r="H32" s="622">
        <f>P32-$P$2-($P$3*$C$32)</f>
        <v>2192317.045217391</v>
      </c>
      <c r="J32" s="933"/>
      <c r="K32" s="611">
        <v>41000</v>
      </c>
      <c r="L32" s="618">
        <f>L16*$K$32</f>
        <v>2239800</v>
      </c>
      <c r="M32" s="618">
        <f>M16*$K$32</f>
        <v>2514000</v>
      </c>
      <c r="N32" s="618">
        <f>N16*$K$32</f>
        <v>2869200</v>
      </c>
      <c r="O32" s="618">
        <f>O16*$K$32</f>
        <v>3215999.9999999995</v>
      </c>
      <c r="P32" s="620">
        <f>P16*$K$32</f>
        <v>4041000</v>
      </c>
    </row>
    <row r="33" spans="2:16" ht="13.5">
      <c r="B33" s="933"/>
      <c r="C33" s="611">
        <v>51000</v>
      </c>
      <c r="D33" s="620">
        <f>L33-$P$2-($P$3*$C$33)</f>
        <v>475166.80173913087</v>
      </c>
      <c r="E33" s="620">
        <f>M33-$P$2-($P$3*$C$33)</f>
        <v>809366.8017391304</v>
      </c>
      <c r="F33" s="620">
        <f>N33-$P$2-($P$3*$C$33)</f>
        <v>1242566.8017391304</v>
      </c>
      <c r="G33" s="620">
        <f>O33-$P$2-($P$3*$C$33)</f>
        <v>1661366.80173913</v>
      </c>
      <c r="H33" s="622">
        <f>P33-$P$2-($P$3*$C$33)</f>
        <v>2672366.80173913</v>
      </c>
      <c r="J33" s="933"/>
      <c r="K33" s="611">
        <v>51000</v>
      </c>
      <c r="L33" s="618">
        <f>L17*$K$33</f>
        <v>2731800.0000000005</v>
      </c>
      <c r="M33" s="618">
        <f>M17*$K$33</f>
        <v>3066000</v>
      </c>
      <c r="N33" s="618">
        <f>N17*$K$33</f>
        <v>3499200</v>
      </c>
      <c r="O33" s="618">
        <f>O17*$K$33</f>
        <v>3917999.9999999995</v>
      </c>
      <c r="P33" s="620">
        <f>P17*$K$33</f>
        <v>4929000</v>
      </c>
    </row>
    <row r="34" spans="2:16" ht="13.5">
      <c r="B34" s="933"/>
      <c r="C34" s="611">
        <v>61000</v>
      </c>
      <c r="D34" s="620">
        <f>L34-$P$2-($P$3*$C$34)</f>
        <v>559216.5582608697</v>
      </c>
      <c r="E34" s="620">
        <f>M34-$P$2-($P$3*$C$34)</f>
        <v>953416.5582608697</v>
      </c>
      <c r="F34" s="620">
        <f>N34-$P$2-($P$3*$C$34)</f>
        <v>1464616.5582608697</v>
      </c>
      <c r="G34" s="620">
        <f>O34-$P$2-($P$3*$C$34)</f>
        <v>1955416.5582608697</v>
      </c>
      <c r="H34" s="622">
        <f>P34-$P$2-($P$3*$C$34)</f>
        <v>3152416.5582608697</v>
      </c>
      <c r="J34" s="933"/>
      <c r="K34" s="611">
        <v>61000</v>
      </c>
      <c r="L34" s="618">
        <f>L18*$K$34</f>
        <v>3223800</v>
      </c>
      <c r="M34" s="618">
        <f>M18*$K$34</f>
        <v>3618000</v>
      </c>
      <c r="N34" s="618">
        <f>N18*$K$34</f>
        <v>4129200</v>
      </c>
      <c r="O34" s="618">
        <f>O18*$K$34</f>
        <v>4620000</v>
      </c>
      <c r="P34" s="620">
        <f>P18*$K$34</f>
        <v>5817000</v>
      </c>
    </row>
    <row r="35" spans="2:16" ht="13.5">
      <c r="B35" s="933"/>
      <c r="C35" s="611">
        <v>71000</v>
      </c>
      <c r="D35" s="620">
        <f>L35-$P$2-($P$3*$C$35)</f>
        <v>643266.3147826088</v>
      </c>
      <c r="E35" s="620">
        <f>M35-$P$2-($P$3*$C$35)</f>
        <v>1097466.3147826083</v>
      </c>
      <c r="F35" s="620">
        <f>N35-$P$2-($P$3*$C$35)</f>
        <v>1686666.3147826078</v>
      </c>
      <c r="G35" s="620">
        <f>O35-$P$2-($P$3*$C$35)</f>
        <v>2249466.314782608</v>
      </c>
      <c r="H35" s="622">
        <f>P35-$P$2-($P$3*$C$35)</f>
        <v>3632466.3147826088</v>
      </c>
      <c r="J35" s="933"/>
      <c r="K35" s="611">
        <v>71000</v>
      </c>
      <c r="L35" s="618">
        <f>L19*$K$35</f>
        <v>3715800</v>
      </c>
      <c r="M35" s="618">
        <f>M19*$K$35</f>
        <v>4169999.9999999995</v>
      </c>
      <c r="N35" s="618">
        <f>N19*$K$35</f>
        <v>4759199.999999999</v>
      </c>
      <c r="O35" s="618">
        <f>O19*$K$35</f>
        <v>5321999.999999999</v>
      </c>
      <c r="P35" s="620">
        <f>P19*$K$35</f>
        <v>6705000</v>
      </c>
    </row>
    <row r="36" spans="2:16" ht="13.5">
      <c r="B36" s="933"/>
      <c r="C36" s="611">
        <v>81000</v>
      </c>
      <c r="D36" s="620">
        <f>L36-$P$2-($P$3*$C$36)</f>
        <v>727316.0713043478</v>
      </c>
      <c r="E36" s="620">
        <f>M36-$P$2-($P$3*$C$36)</f>
        <v>1241516.071304347</v>
      </c>
      <c r="F36" s="620">
        <f>N36-$P$2-($P$3*$C$36)</f>
        <v>1908716.0713043478</v>
      </c>
      <c r="G36" s="620">
        <f>O36-$P$2-($P$3*$C$36)</f>
        <v>2543516.071304348</v>
      </c>
      <c r="H36" s="622">
        <f>P36-$P$2-($P$3*$C$36)</f>
        <v>4112516.071304347</v>
      </c>
      <c r="J36" s="933"/>
      <c r="K36" s="611">
        <v>81000</v>
      </c>
      <c r="L36" s="618">
        <f>L20*$K$36</f>
        <v>4207800</v>
      </c>
      <c r="M36" s="618">
        <f>M20*$K$36</f>
        <v>4721999.999999999</v>
      </c>
      <c r="N36" s="618">
        <f>N20*$K$36</f>
        <v>5389200</v>
      </c>
      <c r="O36" s="618">
        <f>O20*$K$36</f>
        <v>6024000</v>
      </c>
      <c r="P36" s="620">
        <f>P20*$K$36</f>
        <v>7592999.999999999</v>
      </c>
    </row>
    <row r="37" spans="2:16" ht="13.5">
      <c r="B37" s="933"/>
      <c r="C37" s="611">
        <v>91000</v>
      </c>
      <c r="D37" s="620">
        <f>L37-$P$2-($P$3*$C$37)</f>
        <v>811365.8278260869</v>
      </c>
      <c r="E37" s="620">
        <f>M37-$P$2-($P$3*$C$37)</f>
        <v>1385565.827826087</v>
      </c>
      <c r="F37" s="620">
        <f>N37-$P$2-($P$3*$C$37)</f>
        <v>2130765.827826088</v>
      </c>
      <c r="G37" s="620">
        <f>O37-$P$2-($P$3*$C$37)</f>
        <v>2837565.827826087</v>
      </c>
      <c r="H37" s="622">
        <f>P37-$P$2-($P$3*$C$37)</f>
        <v>4592565.827826086</v>
      </c>
      <c r="J37" s="933"/>
      <c r="K37" s="611">
        <v>91000</v>
      </c>
      <c r="L37" s="618">
        <f>L21*$K$37</f>
        <v>4699800</v>
      </c>
      <c r="M37" s="618">
        <f>M21*$K$37</f>
        <v>5274000</v>
      </c>
      <c r="N37" s="618">
        <f>N21*$K$37</f>
        <v>6019200.000000001</v>
      </c>
      <c r="O37" s="618">
        <f>O21*$K$37</f>
        <v>6726000</v>
      </c>
      <c r="P37" s="620">
        <f>P21*$K$37</f>
        <v>8481000</v>
      </c>
    </row>
    <row r="38" spans="2:16" ht="14.25" thickBot="1">
      <c r="B38" s="932"/>
      <c r="C38" s="612">
        <v>101000</v>
      </c>
      <c r="D38" s="621">
        <f>L38-$P$2-($P$3*$C$38)</f>
        <v>895415.584347826</v>
      </c>
      <c r="E38" s="621">
        <f>M38-$P$2-($P$3*$C$38)</f>
        <v>1529615.584347825</v>
      </c>
      <c r="F38" s="621">
        <f>N38-$P$2-($P$3*$C$38)</f>
        <v>2352815.584347825</v>
      </c>
      <c r="G38" s="621">
        <f>O38-$P$2-($P$3*$C$38)</f>
        <v>3131615.584347825</v>
      </c>
      <c r="H38" s="624">
        <f>P38-$P$2-($P$3*$C$38)</f>
        <v>5072615.584347827</v>
      </c>
      <c r="J38" s="932"/>
      <c r="K38" s="612">
        <v>101000</v>
      </c>
      <c r="L38" s="619">
        <f>L22*$K$38</f>
        <v>5191800</v>
      </c>
      <c r="M38" s="619">
        <f>M22*$K$38</f>
        <v>5825999.999999999</v>
      </c>
      <c r="N38" s="619">
        <f>N22*$K$38</f>
        <v>6649199.999999999</v>
      </c>
      <c r="O38" s="619">
        <f>O22*$K$38</f>
        <v>7427999.999999999</v>
      </c>
      <c r="P38" s="621">
        <f>P22*$K$38</f>
        <v>9369000</v>
      </c>
    </row>
    <row r="39" spans="2:8" ht="13.5">
      <c r="B39" s="625"/>
      <c r="C39" s="625"/>
      <c r="D39" s="662"/>
      <c r="E39" s="662"/>
      <c r="F39" s="662"/>
      <c r="G39" s="662"/>
      <c r="H39" s="662"/>
    </row>
    <row r="42" spans="2:16" ht="17.25" thickBot="1">
      <c r="B42" s="934" t="s">
        <v>334</v>
      </c>
      <c r="C42" s="934"/>
      <c r="D42" s="935"/>
      <c r="E42" s="935"/>
      <c r="F42" s="935"/>
      <c r="G42" s="935"/>
      <c r="H42" s="935"/>
      <c r="J42" s="934" t="s">
        <v>359</v>
      </c>
      <c r="K42" s="934"/>
      <c r="L42" s="935"/>
      <c r="M42" s="935"/>
      <c r="N42" s="935"/>
      <c r="O42" s="935"/>
      <c r="P42" s="935"/>
    </row>
    <row r="43" spans="2:16" ht="14.25" thickBot="1">
      <c r="B43" s="943" t="s">
        <v>331</v>
      </c>
      <c r="C43" s="944"/>
      <c r="D43" s="664">
        <v>0.1</v>
      </c>
      <c r="E43" s="613">
        <v>0.2</v>
      </c>
      <c r="F43" s="665">
        <v>0.3</v>
      </c>
      <c r="G43" s="613">
        <v>0.4</v>
      </c>
      <c r="H43" s="613">
        <v>0.5</v>
      </c>
      <c r="J43" s="943" t="s">
        <v>331</v>
      </c>
      <c r="K43" s="944"/>
      <c r="L43" s="613">
        <v>0.1</v>
      </c>
      <c r="M43" s="613">
        <v>0.2</v>
      </c>
      <c r="N43" s="613">
        <v>0.3</v>
      </c>
      <c r="O43" s="613">
        <v>0.4</v>
      </c>
      <c r="P43" s="613">
        <v>0.5</v>
      </c>
    </row>
    <row r="44" spans="2:16" ht="13.5">
      <c r="B44" s="945" t="s">
        <v>360</v>
      </c>
      <c r="C44" s="610">
        <v>1000</v>
      </c>
      <c r="D44" s="615">
        <f>D28-(P5*$C$28)</f>
        <v>5917.999999999978</v>
      </c>
      <c r="E44" s="609">
        <f>E28-(Q5*$C$28)</f>
        <v>89118.01913043472</v>
      </c>
      <c r="F44" s="616">
        <f>F28-(R5*$C$28)</f>
        <v>132318.01913043472</v>
      </c>
      <c r="G44" s="609">
        <f>G28-(S5*$C$28)</f>
        <v>191118.01913043472</v>
      </c>
      <c r="H44" s="609">
        <f>H28-(T5*$C$28)</f>
        <v>272118.0191304347</v>
      </c>
      <c r="J44" s="931" t="s">
        <v>359</v>
      </c>
      <c r="K44" s="610">
        <v>1000</v>
      </c>
      <c r="L44" s="655">
        <f aca="true" t="shared" si="5" ref="L44:P54">$P$2/(L12-$P$3)</f>
        <v>762.264778170297</v>
      </c>
      <c r="M44" s="656">
        <f t="shared" si="5"/>
        <v>663.9655085230517</v>
      </c>
      <c r="N44" s="668">
        <f t="shared" si="5"/>
        <v>570.9601673882656</v>
      </c>
      <c r="O44" s="656">
        <f t="shared" si="5"/>
        <v>479.5331441492594</v>
      </c>
      <c r="P44" s="669">
        <f t="shared" si="5"/>
        <v>392.8714898033398</v>
      </c>
    </row>
    <row r="45" spans="2:16" ht="13.5">
      <c r="B45" s="933"/>
      <c r="C45" s="611">
        <v>11000</v>
      </c>
      <c r="D45" s="618">
        <f>D29-($P$6*$C29)</f>
        <v>83968.04347826072</v>
      </c>
      <c r="E45" s="620">
        <f>E29-($P$6*$C29)</f>
        <v>178168.04347826072</v>
      </c>
      <c r="F45" s="614">
        <f>F29-($P$6*$C29)</f>
        <v>299368.04347826075</v>
      </c>
      <c r="G45" s="620">
        <f>G29-($P$6*$C29)</f>
        <v>430168.04347826075</v>
      </c>
      <c r="H45" s="620">
        <f>H29-($P$6*$C29)</f>
        <v>697168.0434782607</v>
      </c>
      <c r="J45" s="933"/>
      <c r="K45" s="611">
        <v>11000</v>
      </c>
      <c r="L45" s="657">
        <f t="shared" si="5"/>
        <v>6148.000089933306</v>
      </c>
      <c r="M45" s="658">
        <f t="shared" si="5"/>
        <v>4732.887293569572</v>
      </c>
      <c r="N45" s="666">
        <f t="shared" si="5"/>
        <v>3651.502011870237</v>
      </c>
      <c r="O45" s="658">
        <f t="shared" si="5"/>
        <v>2929.213852838943</v>
      </c>
      <c r="P45" s="670">
        <f t="shared" si="5"/>
        <v>2086.6648502861963</v>
      </c>
    </row>
    <row r="46" spans="2:16" ht="13.5">
      <c r="B46" s="933"/>
      <c r="C46" s="611">
        <v>21000</v>
      </c>
      <c r="D46" s="618">
        <f aca="true" t="shared" si="6" ref="D46:H54">D30-($P$6*$C30)</f>
        <v>118018.04347826073</v>
      </c>
      <c r="E46" s="675">
        <f t="shared" si="6"/>
        <v>272218.04347826075</v>
      </c>
      <c r="F46" s="614">
        <f t="shared" si="6"/>
        <v>471418.0434782605</v>
      </c>
      <c r="G46" s="620">
        <f t="shared" si="6"/>
        <v>674218.0434782605</v>
      </c>
      <c r="H46" s="620">
        <f t="shared" si="6"/>
        <v>1127218.0434782607</v>
      </c>
      <c r="J46" s="933"/>
      <c r="K46" s="611">
        <v>21000</v>
      </c>
      <c r="L46" s="657">
        <f t="shared" si="5"/>
        <v>9265.308187942732</v>
      </c>
      <c r="M46" s="677">
        <f t="shared" si="5"/>
        <v>6683.166615318262</v>
      </c>
      <c r="N46" s="666">
        <f t="shared" si="5"/>
        <v>4914.02528822934</v>
      </c>
      <c r="O46" s="658">
        <f t="shared" si="5"/>
        <v>3870.835038161957</v>
      </c>
      <c r="P46" s="670">
        <f t="shared" si="5"/>
        <v>2625.7291066233747</v>
      </c>
    </row>
    <row r="47" spans="2:16" ht="13.5">
      <c r="B47" s="933"/>
      <c r="C47" s="611">
        <v>31000</v>
      </c>
      <c r="D47" s="618">
        <f t="shared" si="6"/>
        <v>152068.04347826066</v>
      </c>
      <c r="E47" s="620">
        <f t="shared" si="6"/>
        <v>366268.04347826063</v>
      </c>
      <c r="F47" s="676">
        <f t="shared" si="6"/>
        <v>643468.0434782606</v>
      </c>
      <c r="G47" s="620">
        <f t="shared" si="6"/>
        <v>918268.0434782606</v>
      </c>
      <c r="H47" s="620">
        <f t="shared" si="6"/>
        <v>1557268.0434782612</v>
      </c>
      <c r="J47" s="933"/>
      <c r="K47" s="611">
        <v>31000</v>
      </c>
      <c r="L47" s="657">
        <f t="shared" si="5"/>
        <v>11298.039303613732</v>
      </c>
      <c r="M47" s="658">
        <f t="shared" si="5"/>
        <v>7827.722695618259</v>
      </c>
      <c r="N47" s="678">
        <f t="shared" si="5"/>
        <v>5601.222999091505</v>
      </c>
      <c r="O47" s="658">
        <f t="shared" si="5"/>
        <v>4369.213674240236</v>
      </c>
      <c r="P47" s="670">
        <f t="shared" si="5"/>
        <v>2890.7159056618098</v>
      </c>
    </row>
    <row r="48" spans="2:16" ht="13.5">
      <c r="B48" s="933"/>
      <c r="C48" s="611">
        <v>41000</v>
      </c>
      <c r="D48" s="618">
        <f t="shared" si="6"/>
        <v>186118.04347826078</v>
      </c>
      <c r="E48" s="620">
        <f t="shared" si="6"/>
        <v>460318.04347826075</v>
      </c>
      <c r="F48" s="614">
        <f t="shared" si="6"/>
        <v>815518.0434782607</v>
      </c>
      <c r="G48" s="620">
        <f t="shared" si="6"/>
        <v>1162318.0434782603</v>
      </c>
      <c r="H48" s="620">
        <f t="shared" si="6"/>
        <v>1987318.0434782605</v>
      </c>
      <c r="J48" s="933"/>
      <c r="K48" s="611">
        <v>41000</v>
      </c>
      <c r="L48" s="657">
        <f t="shared" si="5"/>
        <v>12728.339707151334</v>
      </c>
      <c r="M48" s="658">
        <f t="shared" si="5"/>
        <v>8580.378988534532</v>
      </c>
      <c r="N48" s="666">
        <f t="shared" si="5"/>
        <v>6033.378801089143</v>
      </c>
      <c r="O48" s="658">
        <f t="shared" si="5"/>
        <v>4677.689839637708</v>
      </c>
      <c r="P48" s="670">
        <f t="shared" si="5"/>
        <v>3048.2828149631337</v>
      </c>
    </row>
    <row r="49" spans="2:16" ht="13.5">
      <c r="B49" s="933"/>
      <c r="C49" s="611">
        <v>51000</v>
      </c>
      <c r="D49" s="618">
        <f t="shared" si="6"/>
        <v>220168.04347826116</v>
      </c>
      <c r="E49" s="620">
        <f t="shared" si="6"/>
        <v>554368.0434782607</v>
      </c>
      <c r="F49" s="614">
        <f t="shared" si="6"/>
        <v>987568.0434782607</v>
      </c>
      <c r="G49" s="620">
        <f t="shared" si="6"/>
        <v>1406368.0434782603</v>
      </c>
      <c r="H49" s="620">
        <f t="shared" si="6"/>
        <v>2417368.0434782603</v>
      </c>
      <c r="J49" s="933"/>
      <c r="K49" s="611">
        <v>51000</v>
      </c>
      <c r="L49" s="657">
        <f t="shared" si="5"/>
        <v>13789.455598061126</v>
      </c>
      <c r="M49" s="658">
        <f t="shared" si="5"/>
        <v>9112.994605101901</v>
      </c>
      <c r="N49" s="666">
        <f t="shared" si="5"/>
        <v>6330.251289516782</v>
      </c>
      <c r="O49" s="658">
        <f t="shared" si="5"/>
        <v>4887.4344414025345</v>
      </c>
      <c r="P49" s="670">
        <f t="shared" si="5"/>
        <v>3152.7402390031157</v>
      </c>
    </row>
    <row r="50" spans="2:16" ht="13.5">
      <c r="B50" s="933"/>
      <c r="C50" s="611">
        <v>61000</v>
      </c>
      <c r="D50" s="618">
        <f t="shared" si="6"/>
        <v>254218.04347826086</v>
      </c>
      <c r="E50" s="620">
        <f t="shared" si="6"/>
        <v>648418.0434782609</v>
      </c>
      <c r="F50" s="614">
        <f t="shared" si="6"/>
        <v>1159618.0434782607</v>
      </c>
      <c r="G50" s="620">
        <f t="shared" si="6"/>
        <v>1650418.0434782607</v>
      </c>
      <c r="H50" s="620">
        <f t="shared" si="6"/>
        <v>2847418.0434782607</v>
      </c>
      <c r="J50" s="933"/>
      <c r="K50" s="611">
        <v>61000</v>
      </c>
      <c r="L50" s="657">
        <f t="shared" si="5"/>
        <v>14607.987221442483</v>
      </c>
      <c r="M50" s="658">
        <f t="shared" si="5"/>
        <v>9509.757346698854</v>
      </c>
      <c r="N50" s="666">
        <f t="shared" si="5"/>
        <v>6546.767439118517</v>
      </c>
      <c r="O50" s="658">
        <f t="shared" si="5"/>
        <v>5039.308766479605</v>
      </c>
      <c r="P50" s="670">
        <f t="shared" si="5"/>
        <v>3227.0671489820033</v>
      </c>
    </row>
    <row r="51" spans="2:16" ht="13.5">
      <c r="B51" s="933"/>
      <c r="C51" s="611">
        <v>71000</v>
      </c>
      <c r="D51" s="618">
        <f t="shared" si="6"/>
        <v>288268.04347826075</v>
      </c>
      <c r="E51" s="620">
        <f t="shared" si="6"/>
        <v>742468.0434782603</v>
      </c>
      <c r="F51" s="614">
        <f t="shared" si="6"/>
        <v>1331668.0434782598</v>
      </c>
      <c r="G51" s="620">
        <f t="shared" si="6"/>
        <v>1894468.0434782598</v>
      </c>
      <c r="H51" s="620">
        <f t="shared" si="6"/>
        <v>3277468.0434782607</v>
      </c>
      <c r="J51" s="933"/>
      <c r="K51" s="611">
        <v>71000</v>
      </c>
      <c r="L51" s="657">
        <f t="shared" si="5"/>
        <v>15258.587902066922</v>
      </c>
      <c r="M51" s="658">
        <f t="shared" si="5"/>
        <v>9816.76557607913</v>
      </c>
      <c r="N51" s="666">
        <f t="shared" si="5"/>
        <v>6711.663914721858</v>
      </c>
      <c r="O51" s="658">
        <f t="shared" si="5"/>
        <v>5154.359651033517</v>
      </c>
      <c r="P51" s="670">
        <f t="shared" si="5"/>
        <v>3282.6569624853264</v>
      </c>
    </row>
    <row r="52" spans="2:16" ht="13.5">
      <c r="B52" s="933"/>
      <c r="C52" s="611">
        <v>81000</v>
      </c>
      <c r="D52" s="618">
        <f t="shared" si="6"/>
        <v>322318.04347826063</v>
      </c>
      <c r="E52" s="620">
        <f t="shared" si="6"/>
        <v>836518.0434782597</v>
      </c>
      <c r="F52" s="614">
        <f t="shared" si="6"/>
        <v>1503718.0434782607</v>
      </c>
      <c r="G52" s="620">
        <f t="shared" si="6"/>
        <v>2138518.0434782607</v>
      </c>
      <c r="H52" s="620">
        <f t="shared" si="6"/>
        <v>3707518.04347826</v>
      </c>
      <c r="J52" s="933"/>
      <c r="K52" s="611">
        <v>81000</v>
      </c>
      <c r="L52" s="657">
        <f t="shared" si="5"/>
        <v>15788.128929103648</v>
      </c>
      <c r="M52" s="658">
        <f t="shared" si="5"/>
        <v>10061.380512239342</v>
      </c>
      <c r="N52" s="666">
        <f t="shared" si="5"/>
        <v>6841.434556593847</v>
      </c>
      <c r="O52" s="658">
        <f t="shared" si="5"/>
        <v>5244.53140121043</v>
      </c>
      <c r="P52" s="670">
        <f t="shared" si="5"/>
        <v>3325.8017554240455</v>
      </c>
    </row>
    <row r="53" spans="2:16" ht="13.5">
      <c r="B53" s="933"/>
      <c r="C53" s="611">
        <v>91000</v>
      </c>
      <c r="D53" s="618">
        <f t="shared" si="6"/>
        <v>356368.0434782606</v>
      </c>
      <c r="E53" s="620">
        <f t="shared" si="6"/>
        <v>930568.0434782605</v>
      </c>
      <c r="F53" s="614">
        <f t="shared" si="6"/>
        <v>1675768.0434782614</v>
      </c>
      <c r="G53" s="620">
        <f t="shared" si="6"/>
        <v>2382568.0434782607</v>
      </c>
      <c r="H53" s="620">
        <f t="shared" si="6"/>
        <v>4137568.0434782603</v>
      </c>
      <c r="J53" s="933"/>
      <c r="K53" s="611">
        <v>91000</v>
      </c>
      <c r="L53" s="657">
        <f t="shared" si="5"/>
        <v>16227.523277542263</v>
      </c>
      <c r="M53" s="658">
        <f t="shared" si="5"/>
        <v>10260.86797531638</v>
      </c>
      <c r="N53" s="666">
        <f t="shared" si="5"/>
        <v>6946.222642468451</v>
      </c>
      <c r="O53" s="658">
        <f t="shared" si="5"/>
        <v>5317.106578004787</v>
      </c>
      <c r="P53" s="670">
        <f t="shared" si="5"/>
        <v>3360.2599661006225</v>
      </c>
    </row>
    <row r="54" spans="2:16" ht="14.25" thickBot="1">
      <c r="B54" s="932"/>
      <c r="C54" s="612">
        <v>101000</v>
      </c>
      <c r="D54" s="619">
        <f t="shared" si="6"/>
        <v>390418.04347826046</v>
      </c>
      <c r="E54" s="621">
        <f t="shared" si="6"/>
        <v>1024618.0434782596</v>
      </c>
      <c r="F54" s="623">
        <f t="shared" si="6"/>
        <v>1847818.0434782596</v>
      </c>
      <c r="G54" s="621">
        <f t="shared" si="6"/>
        <v>2626618.0434782594</v>
      </c>
      <c r="H54" s="621">
        <f t="shared" si="6"/>
        <v>4567618.043478262</v>
      </c>
      <c r="J54" s="932"/>
      <c r="K54" s="612">
        <v>101000</v>
      </c>
      <c r="L54" s="659">
        <f t="shared" si="5"/>
        <v>16597.98454072039</v>
      </c>
      <c r="M54" s="660">
        <f t="shared" si="5"/>
        <v>10426.661262771528</v>
      </c>
      <c r="N54" s="671">
        <f t="shared" si="5"/>
        <v>7032.60893659443</v>
      </c>
      <c r="O54" s="660">
        <f t="shared" si="5"/>
        <v>5376.778107749738</v>
      </c>
      <c r="P54" s="672">
        <f t="shared" si="5"/>
        <v>3388.4150359469995</v>
      </c>
    </row>
    <row r="55" spans="12:16" ht="13.5">
      <c r="L55" s="667"/>
      <c r="M55" s="667"/>
      <c r="N55" s="667"/>
      <c r="O55" s="667"/>
      <c r="P55" s="667"/>
    </row>
  </sheetData>
  <sheetProtection/>
  <mergeCells count="25">
    <mergeCell ref="B44:B54"/>
    <mergeCell ref="J42:P42"/>
    <mergeCell ref="J44:J54"/>
    <mergeCell ref="B43:C43"/>
    <mergeCell ref="J43:K43"/>
    <mergeCell ref="J27:K27"/>
    <mergeCell ref="B27:C27"/>
    <mergeCell ref="B28:B38"/>
    <mergeCell ref="J2:J3"/>
    <mergeCell ref="N5:N6"/>
    <mergeCell ref="B3:H3"/>
    <mergeCell ref="N2:N3"/>
    <mergeCell ref="B42:H42"/>
    <mergeCell ref="J11:K11"/>
    <mergeCell ref="B11:C11"/>
    <mergeCell ref="B4:C4"/>
    <mergeCell ref="J28:J38"/>
    <mergeCell ref="B26:H26"/>
    <mergeCell ref="B5:B6"/>
    <mergeCell ref="B12:B22"/>
    <mergeCell ref="B10:H10"/>
    <mergeCell ref="J12:J22"/>
    <mergeCell ref="J10:P10"/>
    <mergeCell ref="J26:P26"/>
    <mergeCell ref="J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3"/>
  <sheetViews>
    <sheetView zoomScale="90" zoomScaleNormal="90" zoomScalePageLayoutView="0" workbookViewId="0" topLeftCell="A1">
      <pane ySplit="3" topLeftCell="A46" activePane="bottomLeft" state="frozen"/>
      <selection pane="topLeft" activeCell="A1" sqref="A1"/>
      <selection pane="bottomLeft" activeCell="S20" sqref="S20"/>
    </sheetView>
  </sheetViews>
  <sheetFormatPr defaultColWidth="9.00390625" defaultRowHeight="13.5"/>
  <cols>
    <col min="1" max="1" width="9.00390625" style="37" customWidth="1"/>
    <col min="2" max="2" width="14.00390625" style="37" bestFit="1" customWidth="1"/>
    <col min="3" max="3" width="22.125" style="79" bestFit="1" customWidth="1"/>
    <col min="4" max="4" width="26.00390625" style="37" bestFit="1" customWidth="1"/>
    <col min="5" max="5" width="8.50390625" style="37" bestFit="1" customWidth="1"/>
    <col min="6" max="6" width="10.00390625" style="37" bestFit="1" customWidth="1"/>
    <col min="7" max="9" width="8.50390625" style="37" bestFit="1" customWidth="1"/>
    <col min="10" max="10" width="8.50390625" style="38" bestFit="1" customWidth="1"/>
    <col min="11" max="11" width="8.50390625" style="37" bestFit="1" customWidth="1"/>
    <col min="12" max="12" width="9.875" style="39" customWidth="1"/>
    <col min="13" max="13" width="10.875" style="38" bestFit="1" customWidth="1"/>
    <col min="14" max="14" width="10.50390625" style="37" bestFit="1" customWidth="1"/>
    <col min="15" max="15" width="10.00390625" style="37" bestFit="1" customWidth="1"/>
    <col min="16" max="16" width="8.50390625" style="37" bestFit="1" customWidth="1"/>
    <col min="17" max="17" width="20.125" style="37" bestFit="1" customWidth="1"/>
    <col min="18" max="16384" width="9.00390625" style="37" customWidth="1"/>
  </cols>
  <sheetData>
    <row r="1" spans="1:17" ht="15" customHeight="1">
      <c r="A1" s="35" t="s">
        <v>32</v>
      </c>
      <c r="B1" s="35"/>
      <c r="C1" s="36"/>
      <c r="N1" s="946"/>
      <c r="O1" s="946"/>
      <c r="P1" s="946"/>
      <c r="Q1" s="946"/>
    </row>
    <row r="2" spans="1:17" s="47" customFormat="1" ht="12">
      <c r="A2" s="40" t="s">
        <v>33</v>
      </c>
      <c r="B2" s="41" t="s">
        <v>34</v>
      </c>
      <c r="C2" s="42" t="s">
        <v>35</v>
      </c>
      <c r="D2" s="41" t="s">
        <v>36</v>
      </c>
      <c r="E2" s="43"/>
      <c r="F2" s="43"/>
      <c r="G2" s="43"/>
      <c r="H2" s="43"/>
      <c r="I2" s="43"/>
      <c r="J2" s="44"/>
      <c r="K2" s="40"/>
      <c r="L2" s="45" t="s">
        <v>37</v>
      </c>
      <c r="M2" s="46" t="s">
        <v>38</v>
      </c>
      <c r="N2" s="41" t="s">
        <v>39</v>
      </c>
      <c r="O2" s="43" t="s">
        <v>40</v>
      </c>
      <c r="P2" s="43" t="s">
        <v>41</v>
      </c>
      <c r="Q2" s="43" t="s">
        <v>42</v>
      </c>
    </row>
    <row r="3" spans="1:17" s="55" customFormat="1" ht="12">
      <c r="A3" s="48" t="s">
        <v>43</v>
      </c>
      <c r="B3" s="49" t="s">
        <v>44</v>
      </c>
      <c r="C3" s="50" t="s">
        <v>44</v>
      </c>
      <c r="D3" s="49" t="s">
        <v>45</v>
      </c>
      <c r="E3" s="51">
        <v>143</v>
      </c>
      <c r="F3" s="51">
        <v>113</v>
      </c>
      <c r="G3" s="51">
        <v>108</v>
      </c>
      <c r="H3" s="51">
        <v>144</v>
      </c>
      <c r="I3" s="51">
        <v>132</v>
      </c>
      <c r="J3" s="52">
        <f>SUM(E3:I3)</f>
        <v>640</v>
      </c>
      <c r="K3" s="48" t="s">
        <v>46</v>
      </c>
      <c r="L3" s="53">
        <v>129000</v>
      </c>
      <c r="M3" s="54">
        <f>J3*L3</f>
        <v>82560000</v>
      </c>
      <c r="N3" s="49"/>
      <c r="O3" s="51"/>
      <c r="P3" s="51"/>
      <c r="Q3" s="51" t="s">
        <v>47</v>
      </c>
    </row>
    <row r="4" spans="1:17" ht="12">
      <c r="A4" s="56" t="s">
        <v>44</v>
      </c>
      <c r="B4" s="57" t="s">
        <v>48</v>
      </c>
      <c r="C4" s="58" t="s">
        <v>48</v>
      </c>
      <c r="D4" s="57" t="s">
        <v>49</v>
      </c>
      <c r="E4" s="59">
        <f aca="true" t="shared" si="0" ref="E4:J4">E3</f>
        <v>143</v>
      </c>
      <c r="F4" s="59">
        <f t="shared" si="0"/>
        <v>113</v>
      </c>
      <c r="G4" s="59">
        <f t="shared" si="0"/>
        <v>108</v>
      </c>
      <c r="H4" s="59">
        <f t="shared" si="0"/>
        <v>144</v>
      </c>
      <c r="I4" s="59">
        <f t="shared" si="0"/>
        <v>132</v>
      </c>
      <c r="J4" s="59">
        <f t="shared" si="0"/>
        <v>640</v>
      </c>
      <c r="K4" s="56"/>
      <c r="L4" s="60">
        <v>700</v>
      </c>
      <c r="M4" s="61">
        <f>J4*L4</f>
        <v>448000</v>
      </c>
      <c r="N4" s="57"/>
      <c r="O4" s="59"/>
      <c r="P4" s="59"/>
      <c r="Q4" s="59"/>
    </row>
    <row r="5" spans="1:17" ht="12">
      <c r="A5" s="56" t="s">
        <v>44</v>
      </c>
      <c r="B5" s="57" t="s">
        <v>48</v>
      </c>
      <c r="C5" s="58" t="s">
        <v>50</v>
      </c>
      <c r="D5" s="57"/>
      <c r="E5" s="59"/>
      <c r="F5" s="59"/>
      <c r="G5" s="59"/>
      <c r="H5" s="59"/>
      <c r="I5" s="59"/>
      <c r="J5" s="62"/>
      <c r="K5" s="56"/>
      <c r="L5" s="60"/>
      <c r="M5" s="61"/>
      <c r="N5" s="57"/>
      <c r="O5" s="59"/>
      <c r="P5" s="59"/>
      <c r="Q5" s="59"/>
    </row>
    <row r="6" spans="1:17" ht="12">
      <c r="A6" s="63" t="s">
        <v>51</v>
      </c>
      <c r="B6" s="64" t="s">
        <v>44</v>
      </c>
      <c r="C6" s="64"/>
      <c r="D6" s="64"/>
      <c r="E6" s="65"/>
      <c r="F6" s="65"/>
      <c r="G6" s="65"/>
      <c r="H6" s="65"/>
      <c r="I6" s="65"/>
      <c r="J6" s="66"/>
      <c r="K6" s="63"/>
      <c r="L6" s="67">
        <f>SUM(L3:L5)</f>
        <v>129700</v>
      </c>
      <c r="M6" s="68">
        <f>SUM(M3:M5)</f>
        <v>83008000</v>
      </c>
      <c r="N6" s="69"/>
      <c r="O6" s="70"/>
      <c r="P6" s="70"/>
      <c r="Q6" s="70"/>
    </row>
    <row r="7" spans="1:17" s="79" customFormat="1" ht="12">
      <c r="A7" s="71"/>
      <c r="B7" s="72"/>
      <c r="C7" s="72"/>
      <c r="D7" s="72"/>
      <c r="E7" s="73"/>
      <c r="F7" s="73"/>
      <c r="G7" s="73"/>
      <c r="H7" s="73"/>
      <c r="I7" s="73"/>
      <c r="J7" s="74"/>
      <c r="K7" s="71"/>
      <c r="L7" s="75"/>
      <c r="M7" s="76"/>
      <c r="N7" s="77"/>
      <c r="O7" s="78"/>
      <c r="P7" s="78"/>
      <c r="Q7" s="78"/>
    </row>
    <row r="8" spans="1:17" s="79" customFormat="1" ht="12">
      <c r="A8" s="56" t="s">
        <v>44</v>
      </c>
      <c r="B8" s="57" t="s">
        <v>52</v>
      </c>
      <c r="C8" s="58" t="s">
        <v>53</v>
      </c>
      <c r="D8" s="57"/>
      <c r="E8" s="59">
        <f aca="true" t="shared" si="1" ref="E8:J8">E6</f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59">
        <f t="shared" si="1"/>
        <v>0</v>
      </c>
      <c r="J8" s="59">
        <f t="shared" si="1"/>
        <v>0</v>
      </c>
      <c r="K8" s="56"/>
      <c r="L8" s="60">
        <v>6642</v>
      </c>
      <c r="M8" s="61">
        <f>J8*L8</f>
        <v>0</v>
      </c>
      <c r="N8" s="57" t="s">
        <v>54</v>
      </c>
      <c r="O8" s="59"/>
      <c r="P8" s="78"/>
      <c r="Q8" s="78"/>
    </row>
    <row r="9" spans="1:17" s="79" customFormat="1" ht="12">
      <c r="A9" s="80" t="s">
        <v>44</v>
      </c>
      <c r="B9" s="81" t="s">
        <v>52</v>
      </c>
      <c r="C9" s="81" t="s">
        <v>55</v>
      </c>
      <c r="D9" s="81" t="s">
        <v>56</v>
      </c>
      <c r="E9" s="82">
        <f>E3*1</f>
        <v>143</v>
      </c>
      <c r="F9" s="82">
        <f>F3*1</f>
        <v>113</v>
      </c>
      <c r="G9" s="82">
        <f>G3*1</f>
        <v>108</v>
      </c>
      <c r="H9" s="82">
        <f>H3*1</f>
        <v>144</v>
      </c>
      <c r="I9" s="82">
        <f>I3*1</f>
        <v>132</v>
      </c>
      <c r="J9" s="83">
        <f>SUM(E9:I9)</f>
        <v>640</v>
      </c>
      <c r="K9" s="80" t="s">
        <v>57</v>
      </c>
      <c r="L9" s="84">
        <v>2300</v>
      </c>
      <c r="M9" s="85">
        <f>J9*L9</f>
        <v>1472000</v>
      </c>
      <c r="N9" s="81" t="s">
        <v>58</v>
      </c>
      <c r="O9" s="82"/>
      <c r="P9" s="82"/>
      <c r="Q9" s="82"/>
    </row>
    <row r="10" spans="1:17" s="79" customFormat="1" ht="12">
      <c r="A10" s="80" t="s">
        <v>44</v>
      </c>
      <c r="B10" s="81" t="s">
        <v>52</v>
      </c>
      <c r="C10" s="81" t="s">
        <v>59</v>
      </c>
      <c r="D10" s="86" t="s">
        <v>60</v>
      </c>
      <c r="E10" s="87">
        <f>E3*1</f>
        <v>143</v>
      </c>
      <c r="F10" s="87">
        <f>F3*1</f>
        <v>113</v>
      </c>
      <c r="G10" s="87">
        <f>G3*1</f>
        <v>108</v>
      </c>
      <c r="H10" s="87">
        <f>H3*1</f>
        <v>144</v>
      </c>
      <c r="I10" s="87">
        <f>I3*1</f>
        <v>132</v>
      </c>
      <c r="J10" s="83">
        <f>SUM(E10:I10)</f>
        <v>640</v>
      </c>
      <c r="K10" s="80" t="s">
        <v>61</v>
      </c>
      <c r="L10" s="84">
        <v>2600</v>
      </c>
      <c r="M10" s="85">
        <f>J10*L10</f>
        <v>1664000</v>
      </c>
      <c r="N10" s="81" t="s">
        <v>62</v>
      </c>
      <c r="O10" s="82"/>
      <c r="P10" s="82"/>
      <c r="Q10" s="82"/>
    </row>
    <row r="11" spans="1:17" s="79" customFormat="1" ht="12">
      <c r="A11" s="80" t="s">
        <v>44</v>
      </c>
      <c r="B11" s="81" t="s">
        <v>52</v>
      </c>
      <c r="C11" s="81" t="s">
        <v>63</v>
      </c>
      <c r="D11" s="81" t="s">
        <v>64</v>
      </c>
      <c r="E11" s="82">
        <f>E3*1</f>
        <v>143</v>
      </c>
      <c r="F11" s="82">
        <f>F3*1</f>
        <v>113</v>
      </c>
      <c r="G11" s="82">
        <f>G3*1</f>
        <v>108</v>
      </c>
      <c r="H11" s="82">
        <f>H3*1</f>
        <v>144</v>
      </c>
      <c r="I11" s="82">
        <f>I3*1</f>
        <v>132</v>
      </c>
      <c r="J11" s="83">
        <f>SUM(E11:I11)</f>
        <v>640</v>
      </c>
      <c r="K11" s="80" t="s">
        <v>61</v>
      </c>
      <c r="L11" s="84">
        <v>1200</v>
      </c>
      <c r="M11" s="85">
        <f>J11*L11</f>
        <v>768000</v>
      </c>
      <c r="N11" s="81" t="s">
        <v>65</v>
      </c>
      <c r="O11" s="82"/>
      <c r="P11" s="82"/>
      <c r="Q11" s="82"/>
    </row>
    <row r="12" spans="1:17" s="79" customFormat="1" ht="12">
      <c r="A12" s="80" t="s">
        <v>66</v>
      </c>
      <c r="B12" s="81" t="s">
        <v>67</v>
      </c>
      <c r="C12" s="81" t="s">
        <v>68</v>
      </c>
      <c r="D12" s="81" t="s">
        <v>68</v>
      </c>
      <c r="E12" s="82">
        <f>E3*1</f>
        <v>143</v>
      </c>
      <c r="F12" s="82">
        <f>F3*1</f>
        <v>113</v>
      </c>
      <c r="G12" s="82">
        <f>G3*1</f>
        <v>108</v>
      </c>
      <c r="H12" s="82">
        <f>H3*1</f>
        <v>144</v>
      </c>
      <c r="I12" s="82">
        <f>I3*1</f>
        <v>132</v>
      </c>
      <c r="J12" s="83">
        <f>SUM(E12:I12)</f>
        <v>640</v>
      </c>
      <c r="K12" s="80" t="s">
        <v>61</v>
      </c>
      <c r="L12" s="84">
        <v>32500</v>
      </c>
      <c r="M12" s="85">
        <f>J12*L12</f>
        <v>20800000</v>
      </c>
      <c r="N12" s="81"/>
      <c r="O12" s="82"/>
      <c r="P12" s="82"/>
      <c r="Q12" s="82"/>
    </row>
    <row r="13" spans="1:17" ht="12">
      <c r="A13" s="64" t="s">
        <v>51</v>
      </c>
      <c r="B13" s="64" t="s">
        <v>52</v>
      </c>
      <c r="C13" s="64"/>
      <c r="D13" s="64"/>
      <c r="E13" s="65"/>
      <c r="F13" s="65"/>
      <c r="G13" s="65"/>
      <c r="H13" s="65"/>
      <c r="I13" s="65"/>
      <c r="J13" s="66"/>
      <c r="K13" s="63"/>
      <c r="L13" s="67"/>
      <c r="M13" s="68">
        <f>SUM(M7:M12)</f>
        <v>24704000</v>
      </c>
      <c r="N13" s="69"/>
      <c r="O13" s="70"/>
      <c r="P13" s="70"/>
      <c r="Q13" s="70"/>
    </row>
    <row r="14" spans="1:17" s="79" customFormat="1" ht="12">
      <c r="A14" s="71"/>
      <c r="B14" s="72"/>
      <c r="C14" s="72"/>
      <c r="D14" s="72"/>
      <c r="E14" s="73"/>
      <c r="F14" s="73"/>
      <c r="G14" s="73"/>
      <c r="H14" s="73"/>
      <c r="I14" s="73"/>
      <c r="J14" s="74"/>
      <c r="K14" s="71"/>
      <c r="L14" s="75"/>
      <c r="M14" s="76"/>
      <c r="N14" s="77"/>
      <c r="O14" s="78"/>
      <c r="P14" s="78"/>
      <c r="Q14" s="78"/>
    </row>
    <row r="15" spans="1:17" s="79" customFormat="1" ht="12">
      <c r="A15" s="56" t="s">
        <v>44</v>
      </c>
      <c r="B15" s="57" t="s">
        <v>69</v>
      </c>
      <c r="C15" s="58" t="s">
        <v>53</v>
      </c>
      <c r="D15" s="57"/>
      <c r="E15" s="59">
        <f aca="true" t="shared" si="2" ref="E15:J15">E3</f>
        <v>143</v>
      </c>
      <c r="F15" s="59">
        <f t="shared" si="2"/>
        <v>113</v>
      </c>
      <c r="G15" s="59">
        <f t="shared" si="2"/>
        <v>108</v>
      </c>
      <c r="H15" s="59">
        <f t="shared" si="2"/>
        <v>144</v>
      </c>
      <c r="I15" s="59">
        <f t="shared" si="2"/>
        <v>132</v>
      </c>
      <c r="J15" s="59">
        <f t="shared" si="2"/>
        <v>640</v>
      </c>
      <c r="K15" s="56"/>
      <c r="L15" s="60">
        <v>8856</v>
      </c>
      <c r="M15" s="61">
        <f aca="true" t="shared" si="3" ref="M15:M20">J15*L15</f>
        <v>5667840</v>
      </c>
      <c r="N15" s="57" t="s">
        <v>54</v>
      </c>
      <c r="O15" s="78"/>
      <c r="P15" s="78"/>
      <c r="Q15" s="78"/>
    </row>
    <row r="16" spans="1:17" s="79" customFormat="1" ht="12">
      <c r="A16" s="80" t="s">
        <v>44</v>
      </c>
      <c r="B16" s="81" t="s">
        <v>69</v>
      </c>
      <c r="C16" s="81" t="s">
        <v>70</v>
      </c>
      <c r="D16" s="81" t="s">
        <v>71</v>
      </c>
      <c r="E16" s="82">
        <f>E3*1</f>
        <v>143</v>
      </c>
      <c r="F16" s="82">
        <f>F3*1</f>
        <v>113</v>
      </c>
      <c r="G16" s="82">
        <f>G3*1</f>
        <v>108</v>
      </c>
      <c r="H16" s="82">
        <f>H3*1</f>
        <v>144</v>
      </c>
      <c r="I16" s="82">
        <f>I3*1</f>
        <v>132</v>
      </c>
      <c r="J16" s="83">
        <f>SUM(E16:I16)</f>
        <v>640</v>
      </c>
      <c r="K16" s="80" t="s">
        <v>61</v>
      </c>
      <c r="L16" s="84">
        <v>2500</v>
      </c>
      <c r="M16" s="85">
        <f t="shared" si="3"/>
        <v>1600000</v>
      </c>
      <c r="N16" s="81" t="s">
        <v>58</v>
      </c>
      <c r="O16" s="82"/>
      <c r="P16" s="82"/>
      <c r="Q16" s="82"/>
    </row>
    <row r="17" spans="1:17" s="79" customFormat="1" ht="12">
      <c r="A17" s="80" t="s">
        <v>44</v>
      </c>
      <c r="B17" s="81" t="s">
        <v>69</v>
      </c>
      <c r="C17" s="81" t="s">
        <v>59</v>
      </c>
      <c r="D17" s="81" t="s">
        <v>72</v>
      </c>
      <c r="E17" s="87">
        <f>E12*1</f>
        <v>143</v>
      </c>
      <c r="F17" s="87">
        <f>F12*1</f>
        <v>113</v>
      </c>
      <c r="G17" s="87">
        <f>G12*1</f>
        <v>108</v>
      </c>
      <c r="H17" s="87">
        <f>H12*1</f>
        <v>144</v>
      </c>
      <c r="I17" s="87">
        <f>I12*1</f>
        <v>132</v>
      </c>
      <c r="J17" s="83">
        <f>SUM(E17:I17)</f>
        <v>640</v>
      </c>
      <c r="K17" s="80" t="s">
        <v>61</v>
      </c>
      <c r="L17" s="84">
        <v>3000</v>
      </c>
      <c r="M17" s="85">
        <f t="shared" si="3"/>
        <v>1920000</v>
      </c>
      <c r="N17" s="81" t="s">
        <v>62</v>
      </c>
      <c r="O17" s="82"/>
      <c r="P17" s="82"/>
      <c r="Q17" s="82"/>
    </row>
    <row r="18" spans="1:17" s="79" customFormat="1" ht="12">
      <c r="A18" s="80" t="s">
        <v>44</v>
      </c>
      <c r="B18" s="81" t="s">
        <v>69</v>
      </c>
      <c r="C18" s="81" t="s">
        <v>63</v>
      </c>
      <c r="D18" s="81" t="s">
        <v>64</v>
      </c>
      <c r="E18" s="82">
        <f>E12*1</f>
        <v>143</v>
      </c>
      <c r="F18" s="82">
        <f>F12*1</f>
        <v>113</v>
      </c>
      <c r="G18" s="82">
        <f>G12*1</f>
        <v>108</v>
      </c>
      <c r="H18" s="82">
        <f>H12*1</f>
        <v>144</v>
      </c>
      <c r="I18" s="82">
        <f>I12*1</f>
        <v>132</v>
      </c>
      <c r="J18" s="83">
        <f>SUM(E18:I18)</f>
        <v>640</v>
      </c>
      <c r="K18" s="80" t="s">
        <v>61</v>
      </c>
      <c r="L18" s="84">
        <v>1200</v>
      </c>
      <c r="M18" s="85">
        <f t="shared" si="3"/>
        <v>768000</v>
      </c>
      <c r="N18" s="81" t="s">
        <v>65</v>
      </c>
      <c r="O18" s="82"/>
      <c r="P18" s="82"/>
      <c r="Q18" s="82"/>
    </row>
    <row r="19" spans="1:17" s="79" customFormat="1" ht="12">
      <c r="A19" s="80" t="s">
        <v>44</v>
      </c>
      <c r="B19" s="81" t="s">
        <v>69</v>
      </c>
      <c r="C19" s="81" t="s">
        <v>73</v>
      </c>
      <c r="D19" s="81" t="s">
        <v>74</v>
      </c>
      <c r="E19" s="82">
        <f>E12*70</f>
        <v>10010</v>
      </c>
      <c r="F19" s="82">
        <f>F12*70</f>
        <v>7910</v>
      </c>
      <c r="G19" s="82">
        <f>G12*70</f>
        <v>7560</v>
      </c>
      <c r="H19" s="82">
        <f>H12*70</f>
        <v>10080</v>
      </c>
      <c r="I19" s="82">
        <f>I12*70</f>
        <v>9240</v>
      </c>
      <c r="J19" s="83">
        <f>SUM(E19:I19)</f>
        <v>44800</v>
      </c>
      <c r="K19" s="80" t="s">
        <v>61</v>
      </c>
      <c r="L19" s="84">
        <v>0.5</v>
      </c>
      <c r="M19" s="85">
        <f t="shared" si="3"/>
        <v>22400</v>
      </c>
      <c r="N19" s="81" t="s">
        <v>75</v>
      </c>
      <c r="O19" s="82"/>
      <c r="P19" s="82"/>
      <c r="Q19" s="82"/>
    </row>
    <row r="20" spans="1:17" s="79" customFormat="1" ht="12">
      <c r="A20" s="80" t="s">
        <v>66</v>
      </c>
      <c r="B20" s="81" t="s">
        <v>67</v>
      </c>
      <c r="C20" s="81" t="s">
        <v>68</v>
      </c>
      <c r="D20" s="81" t="s">
        <v>68</v>
      </c>
      <c r="E20" s="82">
        <f>E4*1</f>
        <v>143</v>
      </c>
      <c r="F20" s="82">
        <f>F4*1</f>
        <v>113</v>
      </c>
      <c r="G20" s="82">
        <f>G4*1</f>
        <v>108</v>
      </c>
      <c r="H20" s="82">
        <f>H4*1</f>
        <v>144</v>
      </c>
      <c r="I20" s="82">
        <f>I4*1</f>
        <v>132</v>
      </c>
      <c r="J20" s="83">
        <f>SUM(E20:I20)</f>
        <v>640</v>
      </c>
      <c r="K20" s="80" t="s">
        <v>61</v>
      </c>
      <c r="L20" s="84">
        <v>32500</v>
      </c>
      <c r="M20" s="85">
        <f t="shared" si="3"/>
        <v>20800000</v>
      </c>
      <c r="N20" s="81"/>
      <c r="O20" s="82"/>
      <c r="P20" s="82"/>
      <c r="Q20" s="82"/>
    </row>
    <row r="21" spans="1:17" s="79" customFormat="1" ht="12">
      <c r="A21" s="80" t="s">
        <v>76</v>
      </c>
      <c r="B21" s="81"/>
      <c r="C21" s="81"/>
      <c r="E21" s="81"/>
      <c r="F21" s="81"/>
      <c r="G21" s="81"/>
      <c r="H21" s="81"/>
      <c r="I21" s="81"/>
      <c r="J21" s="83"/>
      <c r="K21" s="80"/>
      <c r="L21" s="84"/>
      <c r="M21" s="85"/>
      <c r="N21" s="81"/>
      <c r="O21" s="82"/>
      <c r="P21" s="82"/>
      <c r="Q21" s="82"/>
    </row>
    <row r="22" spans="1:17" ht="12">
      <c r="A22" s="64" t="s">
        <v>51</v>
      </c>
      <c r="B22" s="64" t="s">
        <v>69</v>
      </c>
      <c r="C22" s="64"/>
      <c r="D22" s="64"/>
      <c r="E22" s="65"/>
      <c r="F22" s="65"/>
      <c r="G22" s="65"/>
      <c r="H22" s="65"/>
      <c r="I22" s="65"/>
      <c r="J22" s="66"/>
      <c r="K22" s="63"/>
      <c r="L22" s="67"/>
      <c r="M22" s="68">
        <f>SUM(M14:M21)</f>
        <v>30778240</v>
      </c>
      <c r="N22" s="69"/>
      <c r="O22" s="70"/>
      <c r="P22" s="70"/>
      <c r="Q22" s="70"/>
    </row>
    <row r="23" spans="1:17" s="79" customFormat="1" ht="12">
      <c r="A23" s="71"/>
      <c r="B23" s="72"/>
      <c r="C23" s="72"/>
      <c r="D23" s="72"/>
      <c r="E23" s="73"/>
      <c r="F23" s="73"/>
      <c r="G23" s="73"/>
      <c r="H23" s="73"/>
      <c r="I23" s="73"/>
      <c r="J23" s="74"/>
      <c r="K23" s="71"/>
      <c r="L23" s="75"/>
      <c r="M23" s="76"/>
      <c r="N23" s="77"/>
      <c r="O23" s="78"/>
      <c r="P23" s="78"/>
      <c r="Q23" s="78"/>
    </row>
    <row r="24" spans="1:17" s="79" customFormat="1" ht="12">
      <c r="A24" s="80" t="s">
        <v>66</v>
      </c>
      <c r="B24" s="81" t="s">
        <v>77</v>
      </c>
      <c r="C24" s="81" t="s">
        <v>78</v>
      </c>
      <c r="D24" s="81" t="s">
        <v>79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3">
        <f aca="true" t="shared" si="4" ref="J24:J44">SUM(E24:I24)</f>
        <v>5</v>
      </c>
      <c r="K24" s="80" t="s">
        <v>61</v>
      </c>
      <c r="L24" s="84">
        <v>362250</v>
      </c>
      <c r="M24" s="85">
        <f aca="true" t="shared" si="5" ref="M24:M44">J24*L24</f>
        <v>1811250</v>
      </c>
      <c r="N24" s="81" t="s">
        <v>80</v>
      </c>
      <c r="O24" s="82"/>
      <c r="P24" s="82"/>
      <c r="Q24" s="82"/>
    </row>
    <row r="25" spans="1:17" ht="12">
      <c r="A25" s="56" t="s">
        <v>66</v>
      </c>
      <c r="B25" s="57" t="s">
        <v>77</v>
      </c>
      <c r="C25" s="81" t="s">
        <v>81</v>
      </c>
      <c r="D25" s="57" t="s">
        <v>82</v>
      </c>
      <c r="E25" s="59">
        <v>1</v>
      </c>
      <c r="F25" s="59">
        <v>1</v>
      </c>
      <c r="G25" s="59">
        <v>1</v>
      </c>
      <c r="H25" s="59">
        <v>1</v>
      </c>
      <c r="I25" s="59">
        <v>1</v>
      </c>
      <c r="J25" s="62">
        <f t="shared" si="4"/>
        <v>5</v>
      </c>
      <c r="K25" s="56" t="s">
        <v>61</v>
      </c>
      <c r="L25" s="60">
        <v>700000</v>
      </c>
      <c r="M25" s="61">
        <f t="shared" si="5"/>
        <v>3500000</v>
      </c>
      <c r="N25" s="57" t="s">
        <v>83</v>
      </c>
      <c r="O25" s="59"/>
      <c r="P25" s="59"/>
      <c r="Q25" s="59"/>
    </row>
    <row r="26" spans="1:17" ht="12">
      <c r="A26" s="56" t="s">
        <v>66</v>
      </c>
      <c r="B26" s="57" t="s">
        <v>77</v>
      </c>
      <c r="C26" s="81" t="s">
        <v>84</v>
      </c>
      <c r="D26" s="57" t="s">
        <v>85</v>
      </c>
      <c r="E26" s="59">
        <v>1</v>
      </c>
      <c r="F26" s="59">
        <v>1</v>
      </c>
      <c r="G26" s="59">
        <v>1</v>
      </c>
      <c r="H26" s="59">
        <v>1</v>
      </c>
      <c r="I26" s="59">
        <v>1</v>
      </c>
      <c r="J26" s="62">
        <f t="shared" si="4"/>
        <v>5</v>
      </c>
      <c r="K26" s="56" t="s">
        <v>61</v>
      </c>
      <c r="L26" s="60">
        <v>1350000</v>
      </c>
      <c r="M26" s="61">
        <f t="shared" si="5"/>
        <v>6750000</v>
      </c>
      <c r="N26" s="57" t="s">
        <v>86</v>
      </c>
      <c r="O26" s="59"/>
      <c r="P26" s="59"/>
      <c r="Q26" s="59"/>
    </row>
    <row r="27" spans="1:17" ht="12">
      <c r="A27" s="56" t="s">
        <v>66</v>
      </c>
      <c r="B27" s="57" t="s">
        <v>77</v>
      </c>
      <c r="C27" s="81" t="s">
        <v>87</v>
      </c>
      <c r="D27" s="57" t="s">
        <v>88</v>
      </c>
      <c r="E27" s="59">
        <v>1</v>
      </c>
      <c r="F27" s="59">
        <v>1</v>
      </c>
      <c r="G27" s="59">
        <v>1</v>
      </c>
      <c r="H27" s="59">
        <v>1</v>
      </c>
      <c r="I27" s="59">
        <v>1</v>
      </c>
      <c r="J27" s="62">
        <f t="shared" si="4"/>
        <v>5</v>
      </c>
      <c r="K27" s="56" t="s">
        <v>61</v>
      </c>
      <c r="L27" s="60">
        <v>30000</v>
      </c>
      <c r="M27" s="61">
        <f t="shared" si="5"/>
        <v>150000</v>
      </c>
      <c r="N27" s="57" t="s">
        <v>89</v>
      </c>
      <c r="O27" s="59"/>
      <c r="P27" s="59"/>
      <c r="Q27" s="59"/>
    </row>
    <row r="28" spans="1:17" ht="12">
      <c r="A28" s="56" t="s">
        <v>66</v>
      </c>
      <c r="B28" s="57" t="s">
        <v>77</v>
      </c>
      <c r="C28" s="81" t="s">
        <v>90</v>
      </c>
      <c r="D28" s="57" t="s">
        <v>91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62">
        <f t="shared" si="4"/>
        <v>5</v>
      </c>
      <c r="K28" s="56" t="s">
        <v>61</v>
      </c>
      <c r="L28" s="60">
        <v>134000</v>
      </c>
      <c r="M28" s="61">
        <f t="shared" si="5"/>
        <v>670000</v>
      </c>
      <c r="N28" s="57" t="s">
        <v>92</v>
      </c>
      <c r="O28" s="59"/>
      <c r="P28" s="59"/>
      <c r="Q28" s="59"/>
    </row>
    <row r="29" spans="1:17" ht="12">
      <c r="A29" s="56" t="s">
        <v>66</v>
      </c>
      <c r="B29" s="57" t="s">
        <v>77</v>
      </c>
      <c r="C29" s="81" t="s">
        <v>93</v>
      </c>
      <c r="D29" s="57" t="s">
        <v>94</v>
      </c>
      <c r="E29" s="59">
        <v>1</v>
      </c>
      <c r="F29" s="59">
        <v>1</v>
      </c>
      <c r="G29" s="59">
        <v>1</v>
      </c>
      <c r="H29" s="59">
        <v>1</v>
      </c>
      <c r="I29" s="59">
        <v>1</v>
      </c>
      <c r="J29" s="62">
        <f t="shared" si="4"/>
        <v>5</v>
      </c>
      <c r="K29" s="56" t="s">
        <v>61</v>
      </c>
      <c r="L29" s="60">
        <v>272200</v>
      </c>
      <c r="M29" s="61">
        <f t="shared" si="5"/>
        <v>1361000</v>
      </c>
      <c r="N29" s="57" t="s">
        <v>95</v>
      </c>
      <c r="O29" s="59"/>
      <c r="P29" s="59"/>
      <c r="Q29" s="59"/>
    </row>
    <row r="30" spans="1:17" s="79" customFormat="1" ht="12">
      <c r="A30" s="80" t="s">
        <v>66</v>
      </c>
      <c r="B30" s="81" t="s">
        <v>77</v>
      </c>
      <c r="C30" s="81" t="s">
        <v>96</v>
      </c>
      <c r="D30" s="81" t="s">
        <v>97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3">
        <f t="shared" si="4"/>
        <v>5</v>
      </c>
      <c r="K30" s="80" t="s">
        <v>61</v>
      </c>
      <c r="L30" s="84">
        <v>126000</v>
      </c>
      <c r="M30" s="85">
        <f t="shared" si="5"/>
        <v>630000</v>
      </c>
      <c r="N30" s="81" t="s">
        <v>89</v>
      </c>
      <c r="O30" s="82"/>
      <c r="P30" s="82"/>
      <c r="Q30" s="82"/>
    </row>
    <row r="31" spans="1:17" s="79" customFormat="1" ht="12">
      <c r="A31" s="80" t="s">
        <v>66</v>
      </c>
      <c r="B31" s="81" t="s">
        <v>77</v>
      </c>
      <c r="C31" s="81" t="s">
        <v>98</v>
      </c>
      <c r="D31" s="81" t="s">
        <v>99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3">
        <f t="shared" si="4"/>
        <v>5</v>
      </c>
      <c r="K31" s="80" t="s">
        <v>61</v>
      </c>
      <c r="L31" s="84">
        <v>41700</v>
      </c>
      <c r="M31" s="85">
        <f t="shared" si="5"/>
        <v>208500</v>
      </c>
      <c r="N31" s="81" t="s">
        <v>95</v>
      </c>
      <c r="O31" s="82"/>
      <c r="P31" s="82"/>
      <c r="Q31" s="82"/>
    </row>
    <row r="32" spans="1:17" s="79" customFormat="1" ht="12">
      <c r="A32" s="80" t="s">
        <v>66</v>
      </c>
      <c r="B32" s="81" t="s">
        <v>77</v>
      </c>
      <c r="C32" s="81" t="s">
        <v>100</v>
      </c>
      <c r="D32" s="81" t="s">
        <v>101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3">
        <f t="shared" si="4"/>
        <v>5</v>
      </c>
      <c r="K32" s="80" t="s">
        <v>61</v>
      </c>
      <c r="L32" s="84">
        <v>80000</v>
      </c>
      <c r="M32" s="85">
        <f t="shared" si="5"/>
        <v>400000</v>
      </c>
      <c r="N32" s="81" t="s">
        <v>102</v>
      </c>
      <c r="O32" s="82"/>
      <c r="P32" s="82"/>
      <c r="Q32" s="82"/>
    </row>
    <row r="33" spans="1:17" s="79" customFormat="1" ht="12">
      <c r="A33" s="80" t="s">
        <v>103</v>
      </c>
      <c r="B33" s="81" t="s">
        <v>77</v>
      </c>
      <c r="C33" s="81" t="s">
        <v>104</v>
      </c>
      <c r="D33" s="81" t="s">
        <v>105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3">
        <f t="shared" si="4"/>
        <v>5</v>
      </c>
      <c r="K33" s="80" t="s">
        <v>61</v>
      </c>
      <c r="L33" s="84">
        <v>40000</v>
      </c>
      <c r="M33" s="85">
        <f t="shared" si="5"/>
        <v>200000</v>
      </c>
      <c r="N33" s="81" t="s">
        <v>102</v>
      </c>
      <c r="O33" s="82"/>
      <c r="P33" s="82"/>
      <c r="Q33" s="82"/>
    </row>
    <row r="34" spans="1:17" s="79" customFormat="1" ht="12">
      <c r="A34" s="80" t="s">
        <v>103</v>
      </c>
      <c r="B34" s="81" t="s">
        <v>77</v>
      </c>
      <c r="C34" s="81" t="s">
        <v>106</v>
      </c>
      <c r="D34" s="81" t="s">
        <v>107</v>
      </c>
      <c r="E34" s="82">
        <v>2</v>
      </c>
      <c r="F34" s="82">
        <v>2</v>
      </c>
      <c r="G34" s="82">
        <v>2</v>
      </c>
      <c r="H34" s="82">
        <v>2</v>
      </c>
      <c r="I34" s="82">
        <v>2</v>
      </c>
      <c r="J34" s="83">
        <f t="shared" si="4"/>
        <v>10</v>
      </c>
      <c r="K34" s="80" t="s">
        <v>61</v>
      </c>
      <c r="L34" s="84">
        <v>20000</v>
      </c>
      <c r="M34" s="85">
        <f t="shared" si="5"/>
        <v>200000</v>
      </c>
      <c r="N34" s="81" t="s">
        <v>95</v>
      </c>
      <c r="O34" s="82"/>
      <c r="P34" s="82"/>
      <c r="Q34" s="82"/>
    </row>
    <row r="35" spans="1:17" s="79" customFormat="1" ht="12">
      <c r="A35" s="80" t="s">
        <v>103</v>
      </c>
      <c r="B35" s="81" t="s">
        <v>77</v>
      </c>
      <c r="C35" s="81" t="s">
        <v>108</v>
      </c>
      <c r="D35" s="81" t="s">
        <v>109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3">
        <f t="shared" si="4"/>
        <v>5</v>
      </c>
      <c r="K35" s="80" t="s">
        <v>110</v>
      </c>
      <c r="L35" s="84">
        <v>4200</v>
      </c>
      <c r="M35" s="85">
        <f t="shared" si="5"/>
        <v>21000</v>
      </c>
      <c r="N35" s="81" t="s">
        <v>95</v>
      </c>
      <c r="O35" s="82"/>
      <c r="P35" s="82"/>
      <c r="Q35" s="82"/>
    </row>
    <row r="36" spans="1:17" s="79" customFormat="1" ht="12">
      <c r="A36" s="80" t="s">
        <v>103</v>
      </c>
      <c r="B36" s="81" t="s">
        <v>77</v>
      </c>
      <c r="C36" s="81" t="s">
        <v>111</v>
      </c>
      <c r="D36" s="81" t="s">
        <v>112</v>
      </c>
      <c r="E36" s="82">
        <v>1</v>
      </c>
      <c r="F36" s="82">
        <v>1</v>
      </c>
      <c r="G36" s="82">
        <v>1</v>
      </c>
      <c r="H36" s="82">
        <v>1</v>
      </c>
      <c r="I36" s="82">
        <v>1</v>
      </c>
      <c r="J36" s="83">
        <f t="shared" si="4"/>
        <v>5</v>
      </c>
      <c r="K36" s="80" t="s">
        <v>61</v>
      </c>
      <c r="L36" s="84">
        <v>540000</v>
      </c>
      <c r="M36" s="85">
        <f t="shared" si="5"/>
        <v>2700000</v>
      </c>
      <c r="N36" s="81" t="s">
        <v>89</v>
      </c>
      <c r="O36" s="82"/>
      <c r="P36" s="82"/>
      <c r="Q36" s="82"/>
    </row>
    <row r="37" spans="1:17" s="79" customFormat="1" ht="12">
      <c r="A37" s="80"/>
      <c r="B37" s="81"/>
      <c r="C37" s="81"/>
      <c r="D37" s="81"/>
      <c r="E37" s="82"/>
      <c r="F37" s="82"/>
      <c r="G37" s="82"/>
      <c r="H37" s="82"/>
      <c r="I37" s="82"/>
      <c r="J37" s="83"/>
      <c r="K37" s="80"/>
      <c r="L37" s="84"/>
      <c r="M37" s="85"/>
      <c r="N37" s="81"/>
      <c r="O37" s="82"/>
      <c r="P37" s="82"/>
      <c r="Q37" s="82"/>
    </row>
    <row r="38" spans="1:17" s="79" customFormat="1" ht="12">
      <c r="A38" s="80" t="s">
        <v>66</v>
      </c>
      <c r="B38" s="81" t="s">
        <v>113</v>
      </c>
      <c r="C38" s="81" t="s">
        <v>114</v>
      </c>
      <c r="D38" s="81" t="s">
        <v>115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3">
        <f t="shared" si="4"/>
        <v>5</v>
      </c>
      <c r="K38" s="80" t="s">
        <v>61</v>
      </c>
      <c r="L38" s="84">
        <v>12000</v>
      </c>
      <c r="M38" s="85">
        <f t="shared" si="5"/>
        <v>60000</v>
      </c>
      <c r="N38" s="81" t="s">
        <v>102</v>
      </c>
      <c r="O38" s="82"/>
      <c r="P38" s="82"/>
      <c r="Q38" s="82"/>
    </row>
    <row r="39" spans="1:17" s="79" customFormat="1" ht="12">
      <c r="A39" s="80" t="s">
        <v>66</v>
      </c>
      <c r="B39" s="81" t="s">
        <v>113</v>
      </c>
      <c r="C39" s="81" t="s">
        <v>114</v>
      </c>
      <c r="D39" s="81" t="s">
        <v>116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3">
        <f t="shared" si="4"/>
        <v>5</v>
      </c>
      <c r="K39" s="80" t="s">
        <v>61</v>
      </c>
      <c r="L39" s="84">
        <v>12000</v>
      </c>
      <c r="M39" s="85">
        <f t="shared" si="5"/>
        <v>60000</v>
      </c>
      <c r="N39" s="81" t="s">
        <v>102</v>
      </c>
      <c r="O39" s="82"/>
      <c r="P39" s="82"/>
      <c r="Q39" s="82"/>
    </row>
    <row r="40" spans="1:17" s="79" customFormat="1" ht="12">
      <c r="A40" s="80" t="s">
        <v>66</v>
      </c>
      <c r="B40" s="81" t="s">
        <v>113</v>
      </c>
      <c r="C40" s="81" t="s">
        <v>114</v>
      </c>
      <c r="D40" s="81" t="s">
        <v>117</v>
      </c>
      <c r="E40" s="82">
        <v>2</v>
      </c>
      <c r="F40" s="82">
        <v>2</v>
      </c>
      <c r="G40" s="82">
        <v>2</v>
      </c>
      <c r="H40" s="82">
        <v>2</v>
      </c>
      <c r="I40" s="82">
        <v>2</v>
      </c>
      <c r="J40" s="83">
        <f t="shared" si="4"/>
        <v>10</v>
      </c>
      <c r="K40" s="80" t="s">
        <v>61</v>
      </c>
      <c r="L40" s="84">
        <v>11000</v>
      </c>
      <c r="M40" s="85">
        <f t="shared" si="5"/>
        <v>110000</v>
      </c>
      <c r="N40" s="81" t="s">
        <v>102</v>
      </c>
      <c r="O40" s="82"/>
      <c r="P40" s="82"/>
      <c r="Q40" s="82"/>
    </row>
    <row r="41" spans="1:17" s="79" customFormat="1" ht="12">
      <c r="A41" s="80" t="s">
        <v>66</v>
      </c>
      <c r="B41" s="81" t="s">
        <v>113</v>
      </c>
      <c r="C41" s="81" t="s">
        <v>114</v>
      </c>
      <c r="D41" s="81" t="s">
        <v>118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3">
        <f t="shared" si="4"/>
        <v>5</v>
      </c>
      <c r="K41" s="80" t="s">
        <v>61</v>
      </c>
      <c r="L41" s="84">
        <v>38000</v>
      </c>
      <c r="M41" s="85">
        <f t="shared" si="5"/>
        <v>190000</v>
      </c>
      <c r="N41" s="81" t="s">
        <v>102</v>
      </c>
      <c r="O41" s="82"/>
      <c r="P41" s="82"/>
      <c r="Q41" s="82"/>
    </row>
    <row r="42" spans="1:17" s="79" customFormat="1" ht="12">
      <c r="A42" s="80" t="s">
        <v>66</v>
      </c>
      <c r="B42" s="81" t="s">
        <v>113</v>
      </c>
      <c r="C42" s="81" t="s">
        <v>114</v>
      </c>
      <c r="D42" s="81" t="s">
        <v>119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3">
        <f t="shared" si="4"/>
        <v>5</v>
      </c>
      <c r="K42" s="80" t="s">
        <v>61</v>
      </c>
      <c r="L42" s="84">
        <v>40000</v>
      </c>
      <c r="M42" s="85">
        <f t="shared" si="5"/>
        <v>200000</v>
      </c>
      <c r="N42" s="81" t="s">
        <v>102</v>
      </c>
      <c r="O42" s="82"/>
      <c r="P42" s="82"/>
      <c r="Q42" s="82"/>
    </row>
    <row r="43" spans="1:17" s="79" customFormat="1" ht="12">
      <c r="A43" s="80" t="s">
        <v>66</v>
      </c>
      <c r="B43" s="81" t="s">
        <v>113</v>
      </c>
      <c r="C43" s="81" t="s">
        <v>114</v>
      </c>
      <c r="D43" s="81" t="s">
        <v>120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3">
        <f t="shared" si="4"/>
        <v>5</v>
      </c>
      <c r="K43" s="80" t="s">
        <v>61</v>
      </c>
      <c r="L43" s="84">
        <v>48000</v>
      </c>
      <c r="M43" s="85">
        <f t="shared" si="5"/>
        <v>240000</v>
      </c>
      <c r="N43" s="81" t="s">
        <v>102</v>
      </c>
      <c r="O43" s="82"/>
      <c r="P43" s="82"/>
      <c r="Q43" s="82"/>
    </row>
    <row r="44" spans="1:17" s="79" customFormat="1" ht="12">
      <c r="A44" s="80" t="s">
        <v>66</v>
      </c>
      <c r="B44" s="81" t="s">
        <v>113</v>
      </c>
      <c r="C44" s="81" t="s">
        <v>114</v>
      </c>
      <c r="D44" s="81" t="s">
        <v>121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3">
        <f t="shared" si="4"/>
        <v>5</v>
      </c>
      <c r="K44" s="80" t="s">
        <v>61</v>
      </c>
      <c r="L44" s="84">
        <v>21000</v>
      </c>
      <c r="M44" s="85">
        <f t="shared" si="5"/>
        <v>105000</v>
      </c>
      <c r="N44" s="81" t="s">
        <v>102</v>
      </c>
      <c r="O44" s="82"/>
      <c r="P44" s="82"/>
      <c r="Q44" s="82"/>
    </row>
    <row r="45" spans="1:17" s="79" customFormat="1" ht="12">
      <c r="A45" s="80" t="s">
        <v>66</v>
      </c>
      <c r="B45" s="81" t="s">
        <v>113</v>
      </c>
      <c r="C45" s="88" t="s">
        <v>122</v>
      </c>
      <c r="D45" s="81" t="s">
        <v>123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3">
        <f>SUM(E45:I45)</f>
        <v>5</v>
      </c>
      <c r="K45" s="80" t="s">
        <v>61</v>
      </c>
      <c r="L45" s="84">
        <v>118000</v>
      </c>
      <c r="M45" s="85">
        <f>J45*L45</f>
        <v>590000</v>
      </c>
      <c r="N45" s="81" t="s">
        <v>95</v>
      </c>
      <c r="O45" s="82"/>
      <c r="P45" s="82"/>
      <c r="Q45" s="82"/>
    </row>
    <row r="46" spans="1:17" s="79" customFormat="1" ht="12">
      <c r="A46" s="80" t="s">
        <v>66</v>
      </c>
      <c r="B46" s="81" t="s">
        <v>113</v>
      </c>
      <c r="C46" s="88" t="s">
        <v>124</v>
      </c>
      <c r="D46" s="81" t="s">
        <v>125</v>
      </c>
      <c r="E46" s="82">
        <v>2</v>
      </c>
      <c r="F46" s="82">
        <v>2</v>
      </c>
      <c r="G46" s="82">
        <v>2</v>
      </c>
      <c r="H46" s="82">
        <v>2</v>
      </c>
      <c r="I46" s="82">
        <v>2</v>
      </c>
      <c r="J46" s="83">
        <f>SUM(E46:I46)</f>
        <v>10</v>
      </c>
      <c r="K46" s="80" t="s">
        <v>61</v>
      </c>
      <c r="L46" s="84">
        <v>10000</v>
      </c>
      <c r="M46" s="85">
        <f>J46*L46</f>
        <v>100000</v>
      </c>
      <c r="N46" s="81" t="s">
        <v>95</v>
      </c>
      <c r="O46" s="82"/>
      <c r="P46" s="82"/>
      <c r="Q46" s="82"/>
    </row>
    <row r="47" spans="1:17" s="79" customFormat="1" ht="12">
      <c r="A47" s="80" t="s">
        <v>66</v>
      </c>
      <c r="B47" s="81" t="s">
        <v>113</v>
      </c>
      <c r="C47" s="88" t="s">
        <v>126</v>
      </c>
      <c r="D47" s="81" t="s">
        <v>127</v>
      </c>
      <c r="E47" s="82">
        <v>3</v>
      </c>
      <c r="F47" s="82">
        <v>4</v>
      </c>
      <c r="G47" s="82">
        <v>3</v>
      </c>
      <c r="H47" s="82">
        <v>4</v>
      </c>
      <c r="I47" s="82">
        <v>3</v>
      </c>
      <c r="J47" s="83">
        <f>SUM(E47:I47)</f>
        <v>17</v>
      </c>
      <c r="K47" s="80" t="s">
        <v>61</v>
      </c>
      <c r="L47" s="84">
        <v>10000</v>
      </c>
      <c r="M47" s="85">
        <f>J47*L47</f>
        <v>170000</v>
      </c>
      <c r="N47" s="81" t="s">
        <v>95</v>
      </c>
      <c r="O47" s="82"/>
      <c r="P47" s="82"/>
      <c r="Q47" s="82"/>
    </row>
    <row r="48" spans="1:17" s="79" customFormat="1" ht="12">
      <c r="A48" s="80"/>
      <c r="B48" s="81"/>
      <c r="C48" s="88"/>
      <c r="D48" s="81"/>
      <c r="E48" s="82"/>
      <c r="F48" s="82"/>
      <c r="G48" s="82"/>
      <c r="H48" s="82"/>
      <c r="I48" s="82"/>
      <c r="J48" s="83"/>
      <c r="K48" s="80"/>
      <c r="L48" s="84"/>
      <c r="M48" s="85"/>
      <c r="N48" s="81"/>
      <c r="O48" s="82"/>
      <c r="P48" s="82"/>
      <c r="Q48" s="82"/>
    </row>
    <row r="49" spans="1:17" s="79" customFormat="1" ht="12">
      <c r="A49" s="80" t="s">
        <v>66</v>
      </c>
      <c r="B49" s="81" t="s">
        <v>128</v>
      </c>
      <c r="C49" s="81" t="s">
        <v>129</v>
      </c>
      <c r="D49" s="81" t="s">
        <v>130</v>
      </c>
      <c r="E49" s="82">
        <v>2</v>
      </c>
      <c r="F49" s="82"/>
      <c r="G49" s="82"/>
      <c r="H49" s="82">
        <v>3</v>
      </c>
      <c r="I49" s="82">
        <v>2</v>
      </c>
      <c r="J49" s="83">
        <f aca="true" t="shared" si="6" ref="J49:J55">SUM(E49:I49)</f>
        <v>7</v>
      </c>
      <c r="K49" s="80" t="s">
        <v>61</v>
      </c>
      <c r="L49" s="84">
        <v>765400</v>
      </c>
      <c r="M49" s="85">
        <f aca="true" t="shared" si="7" ref="M49:M55">J49*L49</f>
        <v>5357800</v>
      </c>
      <c r="N49" s="81" t="s">
        <v>95</v>
      </c>
      <c r="O49" s="82"/>
      <c r="P49" s="82"/>
      <c r="Q49" s="82"/>
    </row>
    <row r="50" spans="1:17" s="79" customFormat="1" ht="12">
      <c r="A50" s="80" t="s">
        <v>66</v>
      </c>
      <c r="B50" s="81" t="s">
        <v>128</v>
      </c>
      <c r="C50" s="81" t="s">
        <v>129</v>
      </c>
      <c r="D50" s="81" t="s">
        <v>131</v>
      </c>
      <c r="E50" s="82">
        <v>1</v>
      </c>
      <c r="F50" s="82">
        <v>2</v>
      </c>
      <c r="G50" s="82">
        <v>2</v>
      </c>
      <c r="H50" s="82"/>
      <c r="I50" s="82">
        <v>1</v>
      </c>
      <c r="J50" s="83">
        <f t="shared" si="6"/>
        <v>6</v>
      </c>
      <c r="K50" s="80" t="s">
        <v>61</v>
      </c>
      <c r="L50" s="84">
        <v>904500</v>
      </c>
      <c r="M50" s="85">
        <f t="shared" si="7"/>
        <v>5427000</v>
      </c>
      <c r="N50" s="81" t="s">
        <v>95</v>
      </c>
      <c r="O50" s="82"/>
      <c r="P50" s="82"/>
      <c r="Q50" s="82"/>
    </row>
    <row r="51" spans="1:17" s="79" customFormat="1" ht="12">
      <c r="A51" s="80" t="s">
        <v>66</v>
      </c>
      <c r="B51" s="81" t="s">
        <v>128</v>
      </c>
      <c r="C51" s="81" t="s">
        <v>132</v>
      </c>
      <c r="D51" s="81" t="s">
        <v>133</v>
      </c>
      <c r="E51" s="82">
        <v>6</v>
      </c>
      <c r="F51" s="82">
        <v>6</v>
      </c>
      <c r="G51" s="82">
        <v>6</v>
      </c>
      <c r="H51" s="82">
        <v>6</v>
      </c>
      <c r="I51" s="82">
        <v>6</v>
      </c>
      <c r="J51" s="83">
        <f t="shared" si="6"/>
        <v>30</v>
      </c>
      <c r="K51" s="80" t="s">
        <v>61</v>
      </c>
      <c r="L51" s="84">
        <v>5700</v>
      </c>
      <c r="M51" s="85">
        <f t="shared" si="7"/>
        <v>171000</v>
      </c>
      <c r="N51" s="81" t="s">
        <v>95</v>
      </c>
      <c r="O51" s="82"/>
      <c r="P51" s="82"/>
      <c r="Q51" s="82"/>
    </row>
    <row r="52" spans="1:17" s="79" customFormat="1" ht="12">
      <c r="A52" s="80" t="s">
        <v>66</v>
      </c>
      <c r="B52" s="81" t="s">
        <v>128</v>
      </c>
      <c r="C52" s="81" t="s">
        <v>134</v>
      </c>
      <c r="D52" s="81" t="s">
        <v>135</v>
      </c>
      <c r="E52" s="82">
        <v>3</v>
      </c>
      <c r="F52" s="82">
        <v>4</v>
      </c>
      <c r="G52" s="82">
        <v>3</v>
      </c>
      <c r="H52" s="82">
        <v>4</v>
      </c>
      <c r="I52" s="82">
        <v>3</v>
      </c>
      <c r="J52" s="83">
        <f t="shared" si="6"/>
        <v>17</v>
      </c>
      <c r="K52" s="80" t="s">
        <v>61</v>
      </c>
      <c r="L52" s="84">
        <v>10000</v>
      </c>
      <c r="M52" s="85">
        <f t="shared" si="7"/>
        <v>170000</v>
      </c>
      <c r="N52" s="81" t="s">
        <v>95</v>
      </c>
      <c r="O52" s="82"/>
      <c r="P52" s="82"/>
      <c r="Q52" s="82"/>
    </row>
    <row r="53" spans="1:17" s="79" customFormat="1" ht="12">
      <c r="A53" s="80" t="s">
        <v>66</v>
      </c>
      <c r="B53" s="81" t="s">
        <v>128</v>
      </c>
      <c r="C53" s="81" t="s">
        <v>136</v>
      </c>
      <c r="D53" s="81" t="s">
        <v>137</v>
      </c>
      <c r="E53" s="82"/>
      <c r="F53" s="82"/>
      <c r="G53" s="82"/>
      <c r="H53" s="82"/>
      <c r="I53" s="82"/>
      <c r="J53" s="83">
        <v>1</v>
      </c>
      <c r="K53" s="80"/>
      <c r="L53" s="84">
        <v>280000</v>
      </c>
      <c r="M53" s="85">
        <f t="shared" si="7"/>
        <v>280000</v>
      </c>
      <c r="N53" s="81" t="s">
        <v>138</v>
      </c>
      <c r="O53" s="82"/>
      <c r="P53" s="82"/>
      <c r="Q53" s="82"/>
    </row>
    <row r="54" spans="1:17" ht="12">
      <c r="A54" s="56" t="s">
        <v>66</v>
      </c>
      <c r="B54" s="57" t="s">
        <v>113</v>
      </c>
      <c r="C54" s="88" t="s">
        <v>139</v>
      </c>
      <c r="D54" s="57"/>
      <c r="E54" s="59">
        <v>8</v>
      </c>
      <c r="F54" s="59">
        <v>8</v>
      </c>
      <c r="G54" s="59">
        <v>8</v>
      </c>
      <c r="H54" s="59">
        <v>8</v>
      </c>
      <c r="I54" s="59">
        <v>8</v>
      </c>
      <c r="J54" s="62">
        <f t="shared" si="6"/>
        <v>40</v>
      </c>
      <c r="K54" s="56" t="s">
        <v>61</v>
      </c>
      <c r="L54" s="60">
        <v>2800</v>
      </c>
      <c r="M54" s="61">
        <f t="shared" si="7"/>
        <v>112000</v>
      </c>
      <c r="N54" s="81" t="s">
        <v>95</v>
      </c>
      <c r="O54" s="82"/>
      <c r="P54" s="82"/>
      <c r="Q54" s="59"/>
    </row>
    <row r="55" spans="1:17" ht="12">
      <c r="A55" s="56" t="s">
        <v>66</v>
      </c>
      <c r="B55" s="57" t="s">
        <v>113</v>
      </c>
      <c r="C55" s="88" t="s">
        <v>140</v>
      </c>
      <c r="D55" s="57"/>
      <c r="E55" s="59">
        <v>1</v>
      </c>
      <c r="F55" s="59">
        <v>2</v>
      </c>
      <c r="G55" s="59">
        <v>2</v>
      </c>
      <c r="H55" s="59">
        <v>1</v>
      </c>
      <c r="I55" s="59">
        <v>1</v>
      </c>
      <c r="J55" s="62">
        <f t="shared" si="6"/>
        <v>7</v>
      </c>
      <c r="K55" s="56" t="s">
        <v>61</v>
      </c>
      <c r="L55" s="60">
        <v>3300</v>
      </c>
      <c r="M55" s="61">
        <f t="shared" si="7"/>
        <v>23100</v>
      </c>
      <c r="N55" s="81" t="s">
        <v>95</v>
      </c>
      <c r="O55" s="82"/>
      <c r="P55" s="82"/>
      <c r="Q55" s="59"/>
    </row>
    <row r="56" spans="1:17" ht="12">
      <c r="A56" s="56"/>
      <c r="B56" s="57"/>
      <c r="C56" s="81"/>
      <c r="D56" s="57"/>
      <c r="E56" s="59"/>
      <c r="F56" s="59"/>
      <c r="G56" s="59"/>
      <c r="H56" s="59"/>
      <c r="I56" s="59"/>
      <c r="J56" s="62"/>
      <c r="K56" s="56"/>
      <c r="L56" s="60"/>
      <c r="M56" s="61"/>
      <c r="N56" s="57"/>
      <c r="O56" s="59"/>
      <c r="P56" s="59"/>
      <c r="Q56" s="59"/>
    </row>
    <row r="57" spans="1:17" ht="12">
      <c r="A57" s="64" t="s">
        <v>51</v>
      </c>
      <c r="B57" s="64" t="s">
        <v>141</v>
      </c>
      <c r="C57" s="64"/>
      <c r="D57" s="64"/>
      <c r="E57" s="65"/>
      <c r="F57" s="65"/>
      <c r="G57" s="65"/>
      <c r="H57" s="65"/>
      <c r="I57" s="65"/>
      <c r="J57" s="66"/>
      <c r="K57" s="63"/>
      <c r="L57" s="67"/>
      <c r="M57" s="68">
        <f>SUM(M23:M56)</f>
        <v>31967650</v>
      </c>
      <c r="N57" s="69"/>
      <c r="O57" s="70"/>
      <c r="P57" s="70"/>
      <c r="Q57" s="70"/>
    </row>
    <row r="58" spans="1:17" s="79" customFormat="1" ht="12">
      <c r="A58" s="71"/>
      <c r="B58" s="72"/>
      <c r="C58" s="72"/>
      <c r="D58" s="72"/>
      <c r="E58" s="89"/>
      <c r="F58" s="89"/>
      <c r="G58" s="89"/>
      <c r="H58" s="89"/>
      <c r="I58" s="89"/>
      <c r="J58" s="90"/>
      <c r="K58" s="91"/>
      <c r="L58" s="92"/>
      <c r="M58" s="85"/>
      <c r="N58" s="81"/>
      <c r="O58" s="82"/>
      <c r="P58" s="82"/>
      <c r="Q58" s="82"/>
    </row>
    <row r="59" spans="1:17" s="79" customFormat="1" ht="12">
      <c r="A59" s="71"/>
      <c r="B59" s="93" t="s">
        <v>113</v>
      </c>
      <c r="C59" s="93" t="s">
        <v>142</v>
      </c>
      <c r="D59" s="93" t="s">
        <v>143</v>
      </c>
      <c r="E59" s="89"/>
      <c r="F59" s="89">
        <v>1</v>
      </c>
      <c r="G59" s="89">
        <v>4</v>
      </c>
      <c r="H59" s="89"/>
      <c r="I59" s="89"/>
      <c r="J59" s="90">
        <f>SUM(E59:I59)</f>
        <v>5</v>
      </c>
      <c r="K59" s="91" t="s">
        <v>144</v>
      </c>
      <c r="L59" s="92">
        <v>8200</v>
      </c>
      <c r="M59" s="85">
        <f>J59*L59</f>
        <v>41000</v>
      </c>
      <c r="N59" s="81" t="s">
        <v>58</v>
      </c>
      <c r="O59" s="82"/>
      <c r="P59" s="82"/>
      <c r="Q59" s="82"/>
    </row>
    <row r="60" spans="1:17" s="79" customFormat="1" ht="12">
      <c r="A60" s="91" t="s">
        <v>44</v>
      </c>
      <c r="B60" s="93" t="s">
        <v>113</v>
      </c>
      <c r="C60" s="93" t="s">
        <v>142</v>
      </c>
      <c r="D60" s="93" t="s">
        <v>145</v>
      </c>
      <c r="E60" s="89">
        <v>3</v>
      </c>
      <c r="F60" s="89">
        <v>1</v>
      </c>
      <c r="G60" s="89"/>
      <c r="H60" s="89"/>
      <c r="I60" s="89"/>
      <c r="J60" s="90">
        <f aca="true" t="shared" si="8" ref="J60:J67">SUM(E60:I60)</f>
        <v>4</v>
      </c>
      <c r="K60" s="91" t="s">
        <v>144</v>
      </c>
      <c r="L60" s="92">
        <v>12300</v>
      </c>
      <c r="M60" s="85">
        <f aca="true" t="shared" si="9" ref="M60:M74">J60*L60</f>
        <v>49200</v>
      </c>
      <c r="N60" s="81" t="s">
        <v>58</v>
      </c>
      <c r="O60" s="82"/>
      <c r="P60" s="82"/>
      <c r="Q60" s="82" t="s">
        <v>146</v>
      </c>
    </row>
    <row r="61" spans="1:17" s="79" customFormat="1" ht="12">
      <c r="A61" s="91"/>
      <c r="B61" s="93" t="s">
        <v>113</v>
      </c>
      <c r="C61" s="93" t="s">
        <v>142</v>
      </c>
      <c r="D61" s="93" t="s">
        <v>147</v>
      </c>
      <c r="E61" s="89">
        <v>14</v>
      </c>
      <c r="F61" s="89">
        <v>6</v>
      </c>
      <c r="G61" s="89"/>
      <c r="H61" s="89"/>
      <c r="I61" s="89">
        <v>12</v>
      </c>
      <c r="J61" s="90">
        <f t="shared" si="8"/>
        <v>32</v>
      </c>
      <c r="K61" s="91" t="s">
        <v>144</v>
      </c>
      <c r="L61" s="92">
        <v>16400</v>
      </c>
      <c r="M61" s="85">
        <f t="shared" si="9"/>
        <v>524800</v>
      </c>
      <c r="N61" s="81" t="s">
        <v>58</v>
      </c>
      <c r="O61" s="82"/>
      <c r="P61" s="82"/>
      <c r="Q61" s="82"/>
    </row>
    <row r="62" spans="1:17" s="79" customFormat="1" ht="12">
      <c r="A62" s="91"/>
      <c r="B62" s="93" t="s">
        <v>113</v>
      </c>
      <c r="C62" s="93" t="s">
        <v>142</v>
      </c>
      <c r="D62" s="93" t="s">
        <v>148</v>
      </c>
      <c r="E62" s="89"/>
      <c r="F62" s="89">
        <v>1</v>
      </c>
      <c r="G62" s="89">
        <v>8</v>
      </c>
      <c r="H62" s="89"/>
      <c r="I62" s="89"/>
      <c r="J62" s="90">
        <f t="shared" si="8"/>
        <v>9</v>
      </c>
      <c r="K62" s="91" t="s">
        <v>144</v>
      </c>
      <c r="L62" s="92">
        <v>20500</v>
      </c>
      <c r="M62" s="85">
        <f t="shared" si="9"/>
        <v>184500</v>
      </c>
      <c r="N62" s="81" t="s">
        <v>58</v>
      </c>
      <c r="O62" s="82"/>
      <c r="P62" s="82"/>
      <c r="Q62" s="82"/>
    </row>
    <row r="63" spans="1:17" s="79" customFormat="1" ht="12">
      <c r="A63" s="91"/>
      <c r="B63" s="93" t="s">
        <v>113</v>
      </c>
      <c r="C63" s="93" t="s">
        <v>142</v>
      </c>
      <c r="D63" s="93" t="s">
        <v>149</v>
      </c>
      <c r="E63" s="89"/>
      <c r="F63" s="89">
        <v>1</v>
      </c>
      <c r="G63" s="89"/>
      <c r="H63" s="89">
        <v>12</v>
      </c>
      <c r="I63" s="89"/>
      <c r="J63" s="90">
        <f t="shared" si="8"/>
        <v>13</v>
      </c>
      <c r="K63" s="91" t="s">
        <v>144</v>
      </c>
      <c r="L63" s="92">
        <v>24600</v>
      </c>
      <c r="M63" s="85">
        <f t="shared" si="9"/>
        <v>319800</v>
      </c>
      <c r="N63" s="81" t="s">
        <v>58</v>
      </c>
      <c r="O63" s="82"/>
      <c r="P63" s="82"/>
      <c r="Q63" s="82"/>
    </row>
    <row r="64" spans="1:17" s="79" customFormat="1" ht="12">
      <c r="A64" s="91"/>
      <c r="B64" s="93" t="s">
        <v>113</v>
      </c>
      <c r="C64" s="93" t="s">
        <v>142</v>
      </c>
      <c r="D64" s="93" t="s">
        <v>150</v>
      </c>
      <c r="E64" s="89"/>
      <c r="F64" s="89">
        <v>6</v>
      </c>
      <c r="G64" s="89"/>
      <c r="H64" s="89"/>
      <c r="I64" s="89"/>
      <c r="J64" s="90">
        <f t="shared" si="8"/>
        <v>6</v>
      </c>
      <c r="K64" s="91" t="s">
        <v>144</v>
      </c>
      <c r="L64" s="92">
        <v>32800</v>
      </c>
      <c r="M64" s="85">
        <f t="shared" si="9"/>
        <v>196800</v>
      </c>
      <c r="N64" s="81" t="s">
        <v>58</v>
      </c>
      <c r="O64" s="82"/>
      <c r="P64" s="82"/>
      <c r="Q64" s="82"/>
    </row>
    <row r="65" spans="1:17" s="79" customFormat="1" ht="12">
      <c r="A65" s="91"/>
      <c r="B65" s="93" t="s">
        <v>113</v>
      </c>
      <c r="C65" s="93" t="s">
        <v>142</v>
      </c>
      <c r="D65" s="93" t="s">
        <v>151</v>
      </c>
      <c r="E65" s="89"/>
      <c r="F65" s="89"/>
      <c r="G65" s="89">
        <v>6</v>
      </c>
      <c r="H65" s="89"/>
      <c r="I65" s="89"/>
      <c r="J65" s="90">
        <f t="shared" si="8"/>
        <v>6</v>
      </c>
      <c r="K65" s="91" t="s">
        <v>144</v>
      </c>
      <c r="L65" s="92">
        <v>41000</v>
      </c>
      <c r="M65" s="85">
        <f t="shared" si="9"/>
        <v>246000</v>
      </c>
      <c r="N65" s="81" t="s">
        <v>58</v>
      </c>
      <c r="O65" s="82"/>
      <c r="P65" s="82"/>
      <c r="Q65" s="82"/>
    </row>
    <row r="66" spans="1:17" s="79" customFormat="1" ht="12">
      <c r="A66" s="91"/>
      <c r="B66" s="93" t="s">
        <v>113</v>
      </c>
      <c r="C66" s="93" t="s">
        <v>142</v>
      </c>
      <c r="D66" s="93" t="s">
        <v>152</v>
      </c>
      <c r="E66" s="89"/>
      <c r="F66" s="89"/>
      <c r="G66" s="89"/>
      <c r="H66" s="89">
        <v>6</v>
      </c>
      <c r="I66" s="89">
        <v>7</v>
      </c>
      <c r="J66" s="90">
        <f t="shared" si="8"/>
        <v>13</v>
      </c>
      <c r="K66" s="91" t="s">
        <v>144</v>
      </c>
      <c r="L66" s="92">
        <v>49200</v>
      </c>
      <c r="M66" s="85">
        <f t="shared" si="9"/>
        <v>639600</v>
      </c>
      <c r="N66" s="81" t="s">
        <v>58</v>
      </c>
      <c r="O66" s="82"/>
      <c r="P66" s="82"/>
      <c r="Q66" s="82"/>
    </row>
    <row r="67" spans="1:17" s="79" customFormat="1" ht="12">
      <c r="A67" s="91"/>
      <c r="B67" s="93" t="s">
        <v>113</v>
      </c>
      <c r="C67" s="93" t="s">
        <v>142</v>
      </c>
      <c r="D67" s="93" t="s">
        <v>153</v>
      </c>
      <c r="E67" s="89">
        <v>6</v>
      </c>
      <c r="F67" s="89"/>
      <c r="G67" s="89"/>
      <c r="H67" s="89"/>
      <c r="I67" s="89"/>
      <c r="J67" s="90">
        <f t="shared" si="8"/>
        <v>6</v>
      </c>
      <c r="K67" s="91" t="s">
        <v>144</v>
      </c>
      <c r="L67" s="92">
        <v>57400</v>
      </c>
      <c r="M67" s="85">
        <f t="shared" si="9"/>
        <v>344400</v>
      </c>
      <c r="N67" s="81" t="s">
        <v>58</v>
      </c>
      <c r="O67" s="82"/>
      <c r="P67" s="82"/>
      <c r="Q67" s="82"/>
    </row>
    <row r="68" spans="1:17" s="79" customFormat="1" ht="12">
      <c r="A68" s="91" t="s">
        <v>44</v>
      </c>
      <c r="B68" s="93" t="s">
        <v>113</v>
      </c>
      <c r="C68" s="93" t="s">
        <v>142</v>
      </c>
      <c r="D68" s="93" t="s">
        <v>154</v>
      </c>
      <c r="E68" s="89">
        <f>E3*1</f>
        <v>143</v>
      </c>
      <c r="F68" s="89">
        <f>F3*1</f>
        <v>113</v>
      </c>
      <c r="G68" s="89">
        <f>G3*1</f>
        <v>108</v>
      </c>
      <c r="H68" s="89">
        <f>H3*1</f>
        <v>144</v>
      </c>
      <c r="I68" s="89">
        <f>I3*1</f>
        <v>132</v>
      </c>
      <c r="J68" s="90">
        <f>SUM(E68:I68)</f>
        <v>640</v>
      </c>
      <c r="K68" s="91" t="s">
        <v>155</v>
      </c>
      <c r="L68" s="92">
        <v>1750</v>
      </c>
      <c r="M68" s="85">
        <f t="shared" si="9"/>
        <v>1120000</v>
      </c>
      <c r="N68" s="81" t="s">
        <v>58</v>
      </c>
      <c r="O68" s="82"/>
      <c r="P68" s="82"/>
      <c r="Q68" s="82"/>
    </row>
    <row r="69" spans="1:17" s="79" customFormat="1" ht="12">
      <c r="A69" s="91" t="s">
        <v>44</v>
      </c>
      <c r="B69" s="93" t="s">
        <v>113</v>
      </c>
      <c r="C69" s="93" t="s">
        <v>142</v>
      </c>
      <c r="D69" s="93" t="s">
        <v>156</v>
      </c>
      <c r="E69" s="89">
        <f>E3*1</f>
        <v>143</v>
      </c>
      <c r="F69" s="89">
        <f>F3*1</f>
        <v>113</v>
      </c>
      <c r="G69" s="89">
        <f>G3*1</f>
        <v>108</v>
      </c>
      <c r="H69" s="89">
        <f>H3*1</f>
        <v>144</v>
      </c>
      <c r="I69" s="89">
        <f>I3*1</f>
        <v>132</v>
      </c>
      <c r="J69" s="90">
        <f>SUM(E69:I69)</f>
        <v>640</v>
      </c>
      <c r="K69" s="91" t="s">
        <v>155</v>
      </c>
      <c r="L69" s="92">
        <v>1350</v>
      </c>
      <c r="M69" s="85">
        <f t="shared" si="9"/>
        <v>864000</v>
      </c>
      <c r="N69" s="81" t="s">
        <v>58</v>
      </c>
      <c r="O69" s="82"/>
      <c r="P69" s="82"/>
      <c r="Q69" s="82"/>
    </row>
    <row r="70" spans="1:17" s="79" customFormat="1" ht="12">
      <c r="A70" s="91" t="s">
        <v>44</v>
      </c>
      <c r="B70" s="93" t="s">
        <v>113</v>
      </c>
      <c r="C70" s="93" t="s">
        <v>142</v>
      </c>
      <c r="D70" s="93" t="s">
        <v>157</v>
      </c>
      <c r="E70" s="89">
        <v>4</v>
      </c>
      <c r="F70" s="89">
        <v>5</v>
      </c>
      <c r="G70" s="89">
        <v>4</v>
      </c>
      <c r="H70" s="89">
        <v>3</v>
      </c>
      <c r="I70" s="89">
        <v>3</v>
      </c>
      <c r="J70" s="90">
        <f>SUM(E70:I70)</f>
        <v>19</v>
      </c>
      <c r="K70" s="91" t="s">
        <v>155</v>
      </c>
      <c r="L70" s="92">
        <v>7100</v>
      </c>
      <c r="M70" s="85">
        <f t="shared" si="9"/>
        <v>134900</v>
      </c>
      <c r="N70" s="81" t="s">
        <v>58</v>
      </c>
      <c r="O70" s="82"/>
      <c r="P70" s="82"/>
      <c r="Q70" s="82"/>
    </row>
    <row r="71" spans="1:17" s="79" customFormat="1" ht="12">
      <c r="A71" s="91"/>
      <c r="B71" s="93" t="s">
        <v>113</v>
      </c>
      <c r="C71" s="93" t="s">
        <v>142</v>
      </c>
      <c r="D71" s="93" t="s">
        <v>158</v>
      </c>
      <c r="E71" s="89">
        <v>4</v>
      </c>
      <c r="F71" s="89">
        <v>5</v>
      </c>
      <c r="G71" s="89">
        <v>4</v>
      </c>
      <c r="H71" s="89">
        <v>3</v>
      </c>
      <c r="I71" s="89">
        <v>3</v>
      </c>
      <c r="J71" s="90">
        <f>SUM(E71:I71)</f>
        <v>19</v>
      </c>
      <c r="K71" s="91" t="s">
        <v>144</v>
      </c>
      <c r="L71" s="92">
        <v>6700</v>
      </c>
      <c r="M71" s="85">
        <f t="shared" si="9"/>
        <v>127300</v>
      </c>
      <c r="N71" s="81" t="s">
        <v>58</v>
      </c>
      <c r="O71" s="82"/>
      <c r="P71" s="82"/>
      <c r="Q71" s="82"/>
    </row>
    <row r="72" spans="1:17" s="79" customFormat="1" ht="12">
      <c r="A72" s="91"/>
      <c r="B72" s="93" t="s">
        <v>113</v>
      </c>
      <c r="C72" s="93" t="s">
        <v>142</v>
      </c>
      <c r="D72" s="93" t="s">
        <v>159</v>
      </c>
      <c r="E72" s="89"/>
      <c r="F72" s="89"/>
      <c r="G72" s="89"/>
      <c r="H72" s="89"/>
      <c r="I72" s="89"/>
      <c r="J72" s="90">
        <v>5</v>
      </c>
      <c r="K72" s="91" t="s">
        <v>144</v>
      </c>
      <c r="L72" s="92">
        <v>13400</v>
      </c>
      <c r="M72" s="85">
        <f t="shared" si="9"/>
        <v>67000</v>
      </c>
      <c r="N72" s="81" t="s">
        <v>58</v>
      </c>
      <c r="O72" s="82"/>
      <c r="P72" s="82"/>
      <c r="Q72" s="82"/>
    </row>
    <row r="73" spans="1:17" s="79" customFormat="1" ht="12">
      <c r="A73" s="91"/>
      <c r="B73" s="93" t="s">
        <v>113</v>
      </c>
      <c r="C73" s="93" t="s">
        <v>142</v>
      </c>
      <c r="D73" s="93" t="s">
        <v>160</v>
      </c>
      <c r="E73" s="89"/>
      <c r="F73" s="89"/>
      <c r="G73" s="89"/>
      <c r="H73" s="89"/>
      <c r="I73" s="89"/>
      <c r="J73" s="90">
        <v>15</v>
      </c>
      <c r="K73" s="91" t="s">
        <v>144</v>
      </c>
      <c r="L73" s="92">
        <v>4000</v>
      </c>
      <c r="M73" s="85">
        <f t="shared" si="9"/>
        <v>60000</v>
      </c>
      <c r="N73" s="81" t="s">
        <v>58</v>
      </c>
      <c r="O73" s="82"/>
      <c r="P73" s="82"/>
      <c r="Q73" s="82"/>
    </row>
    <row r="74" spans="1:17" s="79" customFormat="1" ht="12">
      <c r="A74" s="80" t="s">
        <v>44</v>
      </c>
      <c r="B74" s="81" t="s">
        <v>161</v>
      </c>
      <c r="C74" s="81" t="s">
        <v>161</v>
      </c>
      <c r="D74" s="81" t="s">
        <v>162</v>
      </c>
      <c r="E74" s="89">
        <f>E10*1</f>
        <v>143</v>
      </c>
      <c r="F74" s="89">
        <f>F10*1</f>
        <v>113</v>
      </c>
      <c r="G74" s="89">
        <f>G10*1</f>
        <v>108</v>
      </c>
      <c r="H74" s="89">
        <f>H10*1</f>
        <v>144</v>
      </c>
      <c r="I74" s="89">
        <f>I10*1</f>
        <v>132</v>
      </c>
      <c r="J74" s="83">
        <f>SUM(E74:I74)</f>
        <v>640</v>
      </c>
      <c r="K74" s="91" t="s">
        <v>155</v>
      </c>
      <c r="L74" s="84">
        <v>330</v>
      </c>
      <c r="M74" s="85">
        <f t="shared" si="9"/>
        <v>211200</v>
      </c>
      <c r="N74" s="81" t="s">
        <v>163</v>
      </c>
      <c r="O74" s="82"/>
      <c r="P74" s="82"/>
      <c r="Q74" s="82"/>
    </row>
    <row r="75" spans="1:17" s="79" customFormat="1" ht="12">
      <c r="A75" s="91"/>
      <c r="B75" s="93"/>
      <c r="C75" s="93"/>
      <c r="D75" s="93"/>
      <c r="E75" s="89"/>
      <c r="F75" s="89"/>
      <c r="G75" s="89"/>
      <c r="H75" s="89"/>
      <c r="I75" s="89"/>
      <c r="J75" s="90"/>
      <c r="K75" s="91"/>
      <c r="L75" s="92"/>
      <c r="M75" s="85"/>
      <c r="N75" s="81"/>
      <c r="O75" s="82"/>
      <c r="P75" s="82"/>
      <c r="Q75" s="82"/>
    </row>
    <row r="76" spans="1:17" ht="12">
      <c r="A76" s="64" t="s">
        <v>51</v>
      </c>
      <c r="B76" s="64" t="s">
        <v>113</v>
      </c>
      <c r="C76" s="64"/>
      <c r="D76" s="64"/>
      <c r="E76" s="65"/>
      <c r="F76" s="65"/>
      <c r="G76" s="65"/>
      <c r="H76" s="65"/>
      <c r="I76" s="65"/>
      <c r="J76" s="66"/>
      <c r="K76" s="63"/>
      <c r="L76" s="67"/>
      <c r="M76" s="68">
        <f>SUM(M58:M75)</f>
        <v>5130500</v>
      </c>
      <c r="N76" s="69"/>
      <c r="O76" s="70"/>
      <c r="P76" s="70"/>
      <c r="Q76" s="70"/>
    </row>
    <row r="77" spans="1:17" s="79" customFormat="1" ht="12">
      <c r="A77" s="71"/>
      <c r="B77" s="72"/>
      <c r="C77" s="72"/>
      <c r="D77" s="72"/>
      <c r="E77" s="73"/>
      <c r="F77" s="73"/>
      <c r="G77" s="73"/>
      <c r="H77" s="73"/>
      <c r="I77" s="73"/>
      <c r="J77" s="74"/>
      <c r="K77" s="71"/>
      <c r="L77" s="75"/>
      <c r="M77" s="76"/>
      <c r="N77" s="77"/>
      <c r="O77" s="78"/>
      <c r="P77" s="78"/>
      <c r="Q77" s="78"/>
    </row>
    <row r="78" spans="1:17" ht="12">
      <c r="A78" s="56" t="s">
        <v>164</v>
      </c>
      <c r="B78" s="57" t="s">
        <v>165</v>
      </c>
      <c r="C78" s="81" t="s">
        <v>166</v>
      </c>
      <c r="D78" s="57" t="s">
        <v>167</v>
      </c>
      <c r="E78" s="59">
        <v>1</v>
      </c>
      <c r="F78" s="59">
        <v>1</v>
      </c>
      <c r="G78" s="59">
        <v>1</v>
      </c>
      <c r="H78" s="59">
        <v>1</v>
      </c>
      <c r="I78" s="59">
        <v>1</v>
      </c>
      <c r="J78" s="62">
        <f>SUM(E78:I78)</f>
        <v>5</v>
      </c>
      <c r="K78" s="56" t="s">
        <v>61</v>
      </c>
      <c r="L78" s="60">
        <v>700000</v>
      </c>
      <c r="M78" s="85">
        <f>J78*L78</f>
        <v>3500000</v>
      </c>
      <c r="N78" s="57" t="s">
        <v>168</v>
      </c>
      <c r="O78" s="59"/>
      <c r="P78" s="59"/>
      <c r="Q78" s="59" t="s">
        <v>169</v>
      </c>
    </row>
    <row r="79" spans="1:17" ht="12">
      <c r="A79" s="56" t="s">
        <v>164</v>
      </c>
      <c r="B79" s="57" t="s">
        <v>165</v>
      </c>
      <c r="C79" s="81" t="s">
        <v>170</v>
      </c>
      <c r="D79" s="57"/>
      <c r="E79" s="59">
        <v>1</v>
      </c>
      <c r="F79" s="59">
        <v>1</v>
      </c>
      <c r="G79" s="59">
        <v>1</v>
      </c>
      <c r="H79" s="59">
        <v>1</v>
      </c>
      <c r="I79" s="59">
        <v>1</v>
      </c>
      <c r="J79" s="62">
        <f>SUM(E79:I79)</f>
        <v>5</v>
      </c>
      <c r="K79" s="56" t="s">
        <v>61</v>
      </c>
      <c r="L79" s="60">
        <v>1400000</v>
      </c>
      <c r="M79" s="85">
        <f>J79*L79</f>
        <v>7000000</v>
      </c>
      <c r="N79" s="57" t="s">
        <v>168</v>
      </c>
      <c r="O79" s="59"/>
      <c r="P79" s="59"/>
      <c r="Q79" s="59" t="s">
        <v>171</v>
      </c>
    </row>
    <row r="80" spans="1:17" ht="12">
      <c r="A80" s="56"/>
      <c r="B80" s="57" t="s">
        <v>165</v>
      </c>
      <c r="C80" s="81" t="s">
        <v>172</v>
      </c>
      <c r="D80" s="57"/>
      <c r="E80" s="59">
        <v>1</v>
      </c>
      <c r="F80" s="59">
        <v>1</v>
      </c>
      <c r="G80" s="59">
        <v>1</v>
      </c>
      <c r="H80" s="59">
        <v>1</v>
      </c>
      <c r="I80" s="59">
        <v>1</v>
      </c>
      <c r="J80" s="62">
        <f>SUM(E80:I80)</f>
        <v>5</v>
      </c>
      <c r="K80" s="56" t="s">
        <v>61</v>
      </c>
      <c r="L80" s="60">
        <v>700000</v>
      </c>
      <c r="M80" s="85">
        <f>J80*L80</f>
        <v>3500000</v>
      </c>
      <c r="N80" s="57" t="s">
        <v>168</v>
      </c>
      <c r="O80" s="59"/>
      <c r="P80" s="59"/>
      <c r="Q80" s="59" t="s">
        <v>173</v>
      </c>
    </row>
    <row r="81" spans="1:17" ht="12">
      <c r="A81" s="64" t="s">
        <v>51</v>
      </c>
      <c r="B81" s="64" t="s">
        <v>165</v>
      </c>
      <c r="C81" s="64"/>
      <c r="D81" s="64"/>
      <c r="E81" s="65"/>
      <c r="F81" s="65"/>
      <c r="G81" s="65"/>
      <c r="H81" s="65"/>
      <c r="I81" s="65"/>
      <c r="J81" s="66"/>
      <c r="K81" s="63"/>
      <c r="L81" s="67"/>
      <c r="M81" s="68">
        <f>SUM(M77:M80)</f>
        <v>14000000</v>
      </c>
      <c r="N81" s="69"/>
      <c r="O81" s="70"/>
      <c r="P81" s="70"/>
      <c r="Q81" s="70"/>
    </row>
    <row r="82" spans="1:17" s="79" customFormat="1" ht="12">
      <c r="A82" s="71"/>
      <c r="B82" s="93"/>
      <c r="C82" s="72"/>
      <c r="D82" s="72"/>
      <c r="E82" s="73"/>
      <c r="F82" s="73"/>
      <c r="G82" s="73"/>
      <c r="H82" s="73"/>
      <c r="I82" s="73"/>
      <c r="J82" s="74"/>
      <c r="K82" s="71"/>
      <c r="L82" s="75"/>
      <c r="M82" s="76"/>
      <c r="N82" s="77"/>
      <c r="O82" s="78"/>
      <c r="P82" s="78"/>
      <c r="Q82" s="78"/>
    </row>
    <row r="83" spans="1:17" s="79" customFormat="1" ht="12">
      <c r="A83" s="56" t="s">
        <v>174</v>
      </c>
      <c r="B83" s="57" t="s">
        <v>175</v>
      </c>
      <c r="C83" s="94" t="s">
        <v>176</v>
      </c>
      <c r="D83" s="57" t="s">
        <v>177</v>
      </c>
      <c r="E83" s="59">
        <f>E3*2</f>
        <v>286</v>
      </c>
      <c r="F83" s="59">
        <f>F3*2</f>
        <v>226</v>
      </c>
      <c r="G83" s="59">
        <f>G3*2</f>
        <v>216</v>
      </c>
      <c r="H83" s="59">
        <f>H3*2</f>
        <v>288</v>
      </c>
      <c r="I83" s="59">
        <f>I3*2</f>
        <v>264</v>
      </c>
      <c r="J83" s="62">
        <f>SUM(E83:I83)</f>
        <v>1280</v>
      </c>
      <c r="K83" s="56" t="s">
        <v>61</v>
      </c>
      <c r="L83" s="60">
        <v>10</v>
      </c>
      <c r="M83" s="61">
        <f>J83*L83</f>
        <v>12800</v>
      </c>
      <c r="N83" s="77"/>
      <c r="O83" s="78"/>
      <c r="P83" s="78"/>
      <c r="Q83" s="78"/>
    </row>
    <row r="84" spans="1:17" s="79" customFormat="1" ht="12">
      <c r="A84" s="56" t="s">
        <v>174</v>
      </c>
      <c r="B84" s="57" t="s">
        <v>175</v>
      </c>
      <c r="C84" s="94" t="s">
        <v>178</v>
      </c>
      <c r="D84" s="57" t="s">
        <v>179</v>
      </c>
      <c r="E84" s="59">
        <v>20</v>
      </c>
      <c r="F84" s="59">
        <v>20</v>
      </c>
      <c r="G84" s="59">
        <v>20</v>
      </c>
      <c r="H84" s="59">
        <v>20</v>
      </c>
      <c r="I84" s="59">
        <v>20</v>
      </c>
      <c r="J84" s="62">
        <f>SUM(E84:I84)</f>
        <v>100</v>
      </c>
      <c r="K84" s="56" t="s">
        <v>61</v>
      </c>
      <c r="L84" s="60">
        <v>10</v>
      </c>
      <c r="M84" s="61">
        <f>J84*L84</f>
        <v>1000</v>
      </c>
      <c r="N84" s="77"/>
      <c r="O84" s="78"/>
      <c r="P84" s="78"/>
      <c r="Q84" s="78"/>
    </row>
    <row r="85" spans="1:17" s="79" customFormat="1" ht="12">
      <c r="A85" s="56"/>
      <c r="B85" s="57" t="s">
        <v>175</v>
      </c>
      <c r="C85" s="94" t="s">
        <v>180</v>
      </c>
      <c r="D85" s="94" t="s">
        <v>181</v>
      </c>
      <c r="E85" s="59"/>
      <c r="F85" s="59"/>
      <c r="G85" s="59"/>
      <c r="H85" s="59"/>
      <c r="I85" s="59"/>
      <c r="J85" s="62"/>
      <c r="K85" s="56"/>
      <c r="L85" s="60"/>
      <c r="M85" s="61">
        <v>102300</v>
      </c>
      <c r="N85" s="77"/>
      <c r="O85" s="78"/>
      <c r="P85" s="78"/>
      <c r="Q85" s="78"/>
    </row>
    <row r="86" spans="1:17" s="79" customFormat="1" ht="12">
      <c r="A86" s="56"/>
      <c r="B86" s="57" t="s">
        <v>175</v>
      </c>
      <c r="C86" s="94" t="s">
        <v>180</v>
      </c>
      <c r="D86" s="94" t="s">
        <v>182</v>
      </c>
      <c r="E86" s="59"/>
      <c r="F86" s="59"/>
      <c r="G86" s="59"/>
      <c r="H86" s="59"/>
      <c r="I86" s="59"/>
      <c r="J86" s="62"/>
      <c r="K86" s="56"/>
      <c r="L86" s="60"/>
      <c r="M86" s="61">
        <v>59400</v>
      </c>
      <c r="N86" s="77"/>
      <c r="O86" s="78"/>
      <c r="P86" s="78"/>
      <c r="Q86" s="78"/>
    </row>
    <row r="87" spans="1:17" s="79" customFormat="1" ht="12">
      <c r="A87" s="56"/>
      <c r="B87" s="57" t="s">
        <v>175</v>
      </c>
      <c r="C87" s="94" t="s">
        <v>180</v>
      </c>
      <c r="D87" s="94" t="s">
        <v>183</v>
      </c>
      <c r="E87" s="59"/>
      <c r="F87" s="59"/>
      <c r="G87" s="59"/>
      <c r="H87" s="59"/>
      <c r="I87" s="59"/>
      <c r="J87" s="62"/>
      <c r="K87" s="56"/>
      <c r="L87" s="60"/>
      <c r="M87" s="61">
        <v>63800</v>
      </c>
      <c r="N87" s="77"/>
      <c r="O87" s="78"/>
      <c r="P87" s="78"/>
      <c r="Q87" s="78"/>
    </row>
    <row r="88" spans="1:17" s="79" customFormat="1" ht="12">
      <c r="A88" s="56"/>
      <c r="B88" s="57" t="s">
        <v>175</v>
      </c>
      <c r="C88" s="94" t="s">
        <v>184</v>
      </c>
      <c r="D88" s="57" t="s">
        <v>185</v>
      </c>
      <c r="E88" s="59"/>
      <c r="F88" s="59"/>
      <c r="G88" s="59"/>
      <c r="H88" s="59"/>
      <c r="I88" s="59"/>
      <c r="J88" s="62"/>
      <c r="K88" s="56"/>
      <c r="L88" s="60"/>
      <c r="M88" s="61">
        <v>10000</v>
      </c>
      <c r="N88" s="77"/>
      <c r="O88" s="78"/>
      <c r="P88" s="78"/>
      <c r="Q88" s="78"/>
    </row>
    <row r="89" spans="1:17" s="79" customFormat="1" ht="12">
      <c r="A89" s="56"/>
      <c r="B89" s="57" t="s">
        <v>175</v>
      </c>
      <c r="C89" s="94" t="s">
        <v>186</v>
      </c>
      <c r="D89" s="57" t="s">
        <v>187</v>
      </c>
      <c r="E89" s="59"/>
      <c r="F89" s="59"/>
      <c r="G89" s="59"/>
      <c r="H89" s="59"/>
      <c r="I89" s="59"/>
      <c r="J89" s="62"/>
      <c r="K89" s="56"/>
      <c r="L89" s="60"/>
      <c r="M89" s="61">
        <v>82500</v>
      </c>
      <c r="N89" s="81" t="s">
        <v>188</v>
      </c>
      <c r="O89" s="82"/>
      <c r="P89" s="82"/>
      <c r="Q89" s="78"/>
    </row>
    <row r="90" spans="1:17" s="79" customFormat="1" ht="12">
      <c r="A90" s="56"/>
      <c r="B90" s="57" t="s">
        <v>175</v>
      </c>
      <c r="C90" s="94" t="s">
        <v>189</v>
      </c>
      <c r="D90" s="57"/>
      <c r="E90" s="59"/>
      <c r="F90" s="59"/>
      <c r="G90" s="59"/>
      <c r="H90" s="59"/>
      <c r="I90" s="59"/>
      <c r="J90" s="62"/>
      <c r="K90" s="56"/>
      <c r="L90" s="60"/>
      <c r="M90" s="61">
        <v>16000</v>
      </c>
      <c r="N90" s="77"/>
      <c r="O90" s="78"/>
      <c r="P90" s="78"/>
      <c r="Q90" s="78"/>
    </row>
    <row r="91" spans="1:17" s="79" customFormat="1" ht="12">
      <c r="A91" s="56"/>
      <c r="B91" s="57" t="s">
        <v>175</v>
      </c>
      <c r="C91" s="94" t="s">
        <v>190</v>
      </c>
      <c r="D91" s="57" t="s">
        <v>191</v>
      </c>
      <c r="E91" s="59"/>
      <c r="F91" s="59"/>
      <c r="G91" s="59"/>
      <c r="H91" s="59"/>
      <c r="I91" s="59"/>
      <c r="J91" s="62"/>
      <c r="K91" s="56"/>
      <c r="L91" s="60"/>
      <c r="M91" s="61">
        <v>100650</v>
      </c>
      <c r="N91" s="77"/>
      <c r="O91" s="78"/>
      <c r="P91" s="78"/>
      <c r="Q91" s="78"/>
    </row>
    <row r="92" spans="1:17" s="79" customFormat="1" ht="12">
      <c r="A92" s="56" t="s">
        <v>174</v>
      </c>
      <c r="B92" s="57" t="s">
        <v>175</v>
      </c>
      <c r="C92" s="94" t="s">
        <v>192</v>
      </c>
      <c r="D92" s="57"/>
      <c r="E92" s="59">
        <v>1</v>
      </c>
      <c r="F92" s="59">
        <v>2</v>
      </c>
      <c r="G92" s="59">
        <v>1</v>
      </c>
      <c r="H92" s="59">
        <v>2</v>
      </c>
      <c r="I92" s="59">
        <v>1</v>
      </c>
      <c r="J92" s="62">
        <f>SUM(E92:I92)</f>
        <v>7</v>
      </c>
      <c r="K92" s="56" t="s">
        <v>61</v>
      </c>
      <c r="L92" s="60"/>
      <c r="M92" s="61">
        <f>J92*L92</f>
        <v>0</v>
      </c>
      <c r="N92" s="77"/>
      <c r="O92" s="78"/>
      <c r="P92" s="78"/>
      <c r="Q92" s="78"/>
    </row>
    <row r="93" spans="1:17" s="79" customFormat="1" ht="12">
      <c r="A93" s="56" t="s">
        <v>174</v>
      </c>
      <c r="B93" s="93" t="s">
        <v>193</v>
      </c>
      <c r="C93" s="93" t="s">
        <v>194</v>
      </c>
      <c r="D93" s="93"/>
      <c r="E93" s="89"/>
      <c r="F93" s="89"/>
      <c r="G93" s="89">
        <v>1</v>
      </c>
      <c r="H93" s="89"/>
      <c r="I93" s="89"/>
      <c r="J93" s="62">
        <f>SUM(E93:I93)</f>
        <v>1</v>
      </c>
      <c r="K93" s="91" t="s">
        <v>195</v>
      </c>
      <c r="L93" s="92">
        <v>750000</v>
      </c>
      <c r="M93" s="61">
        <f aca="true" t="shared" si="10" ref="M93:M99">J93*L93</f>
        <v>750000</v>
      </c>
      <c r="N93" s="81" t="s">
        <v>196</v>
      </c>
      <c r="O93" s="82"/>
      <c r="P93" s="82"/>
      <c r="Q93" s="82" t="s">
        <v>197</v>
      </c>
    </row>
    <row r="94" spans="1:17" s="101" customFormat="1" ht="12">
      <c r="A94" s="48"/>
      <c r="B94" s="95" t="s">
        <v>193</v>
      </c>
      <c r="C94" s="95" t="s">
        <v>198</v>
      </c>
      <c r="D94" s="95" t="s">
        <v>199</v>
      </c>
      <c r="E94" s="96"/>
      <c r="F94" s="96"/>
      <c r="G94" s="96"/>
      <c r="H94" s="96"/>
      <c r="I94" s="96"/>
      <c r="J94" s="97"/>
      <c r="K94" s="98"/>
      <c r="L94" s="99">
        <f>176390+201950+855622+321510</f>
        <v>1555472</v>
      </c>
      <c r="M94" s="54">
        <f>L94</f>
        <v>1555472</v>
      </c>
      <c r="N94" s="50" t="s">
        <v>200</v>
      </c>
      <c r="O94" s="100"/>
      <c r="P94" s="100"/>
      <c r="Q94" s="100" t="s">
        <v>201</v>
      </c>
    </row>
    <row r="95" spans="1:17" s="101" customFormat="1" ht="12">
      <c r="A95" s="48" t="s">
        <v>174</v>
      </c>
      <c r="B95" s="95" t="s">
        <v>193</v>
      </c>
      <c r="C95" s="95" t="s">
        <v>202</v>
      </c>
      <c r="D95" s="95"/>
      <c r="E95" s="96">
        <v>1</v>
      </c>
      <c r="F95" s="96">
        <v>1</v>
      </c>
      <c r="G95" s="96"/>
      <c r="H95" s="96"/>
      <c r="I95" s="96"/>
      <c r="J95" s="97">
        <v>2</v>
      </c>
      <c r="K95" s="98"/>
      <c r="L95" s="99">
        <v>650000</v>
      </c>
      <c r="M95" s="54">
        <f t="shared" si="10"/>
        <v>1300000</v>
      </c>
      <c r="N95" s="50" t="s">
        <v>203</v>
      </c>
      <c r="O95" s="100"/>
      <c r="P95" s="100"/>
      <c r="Q95" s="100" t="s">
        <v>204</v>
      </c>
    </row>
    <row r="96" spans="1:17" s="101" customFormat="1" ht="12">
      <c r="A96" s="48"/>
      <c r="B96" s="95" t="s">
        <v>193</v>
      </c>
      <c r="C96" s="95" t="s">
        <v>205</v>
      </c>
      <c r="D96" s="95"/>
      <c r="E96" s="96"/>
      <c r="F96" s="96"/>
      <c r="G96" s="96"/>
      <c r="H96" s="96"/>
      <c r="I96" s="96"/>
      <c r="J96" s="97">
        <v>1280</v>
      </c>
      <c r="K96" s="98"/>
      <c r="L96" s="99">
        <f>M96/J96</f>
        <v>1074.21875</v>
      </c>
      <c r="M96" s="54">
        <v>1375000</v>
      </c>
      <c r="N96" s="50" t="s">
        <v>206</v>
      </c>
      <c r="O96" s="100"/>
      <c r="P96" s="100"/>
      <c r="Q96" s="100" t="s">
        <v>207</v>
      </c>
    </row>
    <row r="97" spans="1:17" s="79" customFormat="1" ht="12">
      <c r="A97" s="56" t="s">
        <v>174</v>
      </c>
      <c r="B97" s="93" t="s">
        <v>208</v>
      </c>
      <c r="C97" s="93" t="s">
        <v>209</v>
      </c>
      <c r="D97" s="93"/>
      <c r="E97" s="89"/>
      <c r="F97" s="89"/>
      <c r="G97" s="89"/>
      <c r="H97" s="89"/>
      <c r="I97" s="89"/>
      <c r="J97" s="62">
        <v>64</v>
      </c>
      <c r="K97" s="91" t="s">
        <v>210</v>
      </c>
      <c r="L97" s="92">
        <v>2000</v>
      </c>
      <c r="M97" s="61">
        <f t="shared" si="10"/>
        <v>128000</v>
      </c>
      <c r="N97" s="81" t="s">
        <v>211</v>
      </c>
      <c r="O97" s="82"/>
      <c r="P97" s="82"/>
      <c r="Q97" s="82"/>
    </row>
    <row r="98" spans="1:17" s="79" customFormat="1" ht="12">
      <c r="A98" s="56" t="s">
        <v>174</v>
      </c>
      <c r="B98" s="93" t="s">
        <v>208</v>
      </c>
      <c r="C98" s="93" t="s">
        <v>212</v>
      </c>
      <c r="D98" s="72"/>
      <c r="E98" s="73"/>
      <c r="F98" s="73"/>
      <c r="G98" s="73"/>
      <c r="H98" s="73"/>
      <c r="I98" s="73"/>
      <c r="J98" s="62">
        <v>1</v>
      </c>
      <c r="K98" s="71" t="s">
        <v>195</v>
      </c>
      <c r="L98" s="92">
        <v>44000</v>
      </c>
      <c r="M98" s="61">
        <f t="shared" si="10"/>
        <v>44000</v>
      </c>
      <c r="N98" s="77"/>
      <c r="O98" s="78"/>
      <c r="P98" s="78"/>
      <c r="Q98" s="78"/>
    </row>
    <row r="99" spans="1:17" s="101" customFormat="1" ht="12">
      <c r="A99" s="48" t="s">
        <v>174</v>
      </c>
      <c r="B99" s="95" t="s">
        <v>208</v>
      </c>
      <c r="C99" s="95" t="s">
        <v>213</v>
      </c>
      <c r="D99" s="95"/>
      <c r="E99" s="96"/>
      <c r="F99" s="96"/>
      <c r="G99" s="96"/>
      <c r="H99" s="96"/>
      <c r="I99" s="96"/>
      <c r="J99" s="97">
        <v>1</v>
      </c>
      <c r="K99" s="98" t="s">
        <v>195</v>
      </c>
      <c r="L99" s="99">
        <v>100000</v>
      </c>
      <c r="M99" s="54">
        <f t="shared" si="10"/>
        <v>100000</v>
      </c>
      <c r="N99" s="50"/>
      <c r="O99" s="100"/>
      <c r="P99" s="100"/>
      <c r="Q99" s="100" t="s">
        <v>214</v>
      </c>
    </row>
    <row r="100" spans="1:17" ht="12">
      <c r="A100" s="64" t="s">
        <v>51</v>
      </c>
      <c r="B100" s="64" t="s">
        <v>175</v>
      </c>
      <c r="C100" s="64"/>
      <c r="D100" s="64"/>
      <c r="E100" s="65"/>
      <c r="F100" s="65"/>
      <c r="G100" s="65"/>
      <c r="H100" s="65"/>
      <c r="I100" s="65"/>
      <c r="J100" s="66"/>
      <c r="K100" s="63"/>
      <c r="L100" s="67"/>
      <c r="M100" s="68">
        <f>SUM(M82:M99)</f>
        <v>5700922</v>
      </c>
      <c r="N100" s="69"/>
      <c r="O100" s="70"/>
      <c r="P100" s="70"/>
      <c r="Q100" s="70"/>
    </row>
    <row r="101" spans="1:17" ht="22.5" customHeight="1">
      <c r="A101" s="947" t="s">
        <v>51</v>
      </c>
      <c r="B101" s="947"/>
      <c r="C101" s="947"/>
      <c r="D101" s="947"/>
      <c r="E101" s="947"/>
      <c r="F101" s="947"/>
      <c r="G101" s="947"/>
      <c r="H101" s="947"/>
      <c r="I101" s="947"/>
      <c r="J101" s="947"/>
      <c r="K101" s="947"/>
      <c r="L101" s="948">
        <f>M6+M13+M22+M57+M76+M81+M100</f>
        <v>195289312</v>
      </c>
      <c r="M101" s="948"/>
      <c r="N101" s="102"/>
      <c r="O101" s="102"/>
      <c r="P101" s="102"/>
      <c r="Q101" s="102"/>
    </row>
    <row r="104" spans="4:13" ht="12">
      <c r="D104" s="38"/>
      <c r="E104" s="38"/>
      <c r="F104" s="38"/>
      <c r="G104" s="38"/>
      <c r="H104" s="38"/>
      <c r="I104" s="38"/>
      <c r="J104" s="37"/>
      <c r="L104" s="39" t="s">
        <v>215</v>
      </c>
      <c r="M104" s="38" t="s">
        <v>216</v>
      </c>
    </row>
    <row r="105" spans="4:13" ht="12">
      <c r="D105" s="38"/>
      <c r="E105" s="38"/>
      <c r="F105" s="38"/>
      <c r="G105" s="38"/>
      <c r="H105" s="38"/>
      <c r="I105" s="38"/>
      <c r="J105" s="37"/>
      <c r="K105" s="37" t="s">
        <v>217</v>
      </c>
      <c r="L105" s="39">
        <v>273006000</v>
      </c>
      <c r="M105" s="38">
        <f>L105-M6</f>
        <v>189998000</v>
      </c>
    </row>
    <row r="106" spans="4:13" ht="12">
      <c r="D106" s="38"/>
      <c r="E106" s="38"/>
      <c r="F106" s="38"/>
      <c r="G106" s="38"/>
      <c r="H106" s="38"/>
      <c r="I106" s="38"/>
      <c r="J106" s="37"/>
      <c r="K106" s="37" t="s">
        <v>218</v>
      </c>
      <c r="L106" s="39">
        <f>L105-L101</f>
        <v>77716688</v>
      </c>
      <c r="M106" s="39">
        <f>L106</f>
        <v>77716688</v>
      </c>
    </row>
    <row r="107" spans="4:13" ht="12">
      <c r="D107" s="38"/>
      <c r="E107" s="38"/>
      <c r="F107" s="38"/>
      <c r="G107" s="38"/>
      <c r="H107" s="38"/>
      <c r="I107" s="38"/>
      <c r="J107" s="37"/>
      <c r="K107" s="37" t="s">
        <v>219</v>
      </c>
      <c r="L107" s="103">
        <f>L106/L105</f>
        <v>0.28467025633136267</v>
      </c>
      <c r="M107" s="103">
        <f>M106/M105</f>
        <v>0.40903950567900715</v>
      </c>
    </row>
    <row r="108" spans="4:13" ht="12">
      <c r="D108" s="38"/>
      <c r="E108" s="38"/>
      <c r="F108" s="38"/>
      <c r="G108" s="38"/>
      <c r="H108" s="38"/>
      <c r="I108" s="38"/>
      <c r="J108" s="37"/>
      <c r="L108" s="104">
        <f>L106/640</f>
        <v>121432.325</v>
      </c>
      <c r="M108" s="104">
        <f>M106/640</f>
        <v>121432.325</v>
      </c>
    </row>
    <row r="109" spans="4:13" ht="12">
      <c r="D109" s="38"/>
      <c r="E109" s="38"/>
      <c r="F109" s="38"/>
      <c r="G109" s="38"/>
      <c r="H109" s="38"/>
      <c r="I109" s="38"/>
      <c r="J109" s="37"/>
      <c r="M109" s="37"/>
    </row>
    <row r="110" spans="4:13" ht="12">
      <c r="D110" s="38"/>
      <c r="E110" s="38"/>
      <c r="F110" s="38"/>
      <c r="G110" s="38"/>
      <c r="H110" s="38"/>
      <c r="I110" s="38"/>
      <c r="J110" s="37"/>
      <c r="M110" s="37"/>
    </row>
    <row r="111" spans="4:13" ht="12">
      <c r="D111" s="38"/>
      <c r="E111" s="38"/>
      <c r="F111" s="38"/>
      <c r="G111" s="38"/>
      <c r="H111" s="38"/>
      <c r="I111" s="38"/>
      <c r="J111" s="37"/>
      <c r="M111" s="37"/>
    </row>
    <row r="112" spans="4:13" ht="12">
      <c r="D112" s="38"/>
      <c r="E112" s="38"/>
      <c r="F112" s="38"/>
      <c r="G112" s="38"/>
      <c r="H112" s="38"/>
      <c r="I112" s="38"/>
      <c r="J112" s="37"/>
      <c r="M112" s="37"/>
    </row>
    <row r="113" ht="12">
      <c r="M113" s="37"/>
    </row>
  </sheetData>
  <sheetProtection/>
  <autoFilter ref="A2:Q101"/>
  <mergeCells count="3">
    <mergeCell ref="N1:Q1"/>
    <mergeCell ref="A101:K101"/>
    <mergeCell ref="L101:M101"/>
  </mergeCells>
  <printOptions horizontalCentered="1" verticalCentered="1"/>
  <pageMargins left="0.11811023622047245" right="0.11811023622047245" top="0.15748031496062992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Simuline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이동환</dc:creator>
  <cp:keywords/>
  <dc:description/>
  <cp:lastModifiedBy>윤창범</cp:lastModifiedBy>
  <cp:lastPrinted>2012-11-05T11:59:46Z</cp:lastPrinted>
  <dcterms:created xsi:type="dcterms:W3CDTF">2001-11-12T09:00:23Z</dcterms:created>
  <dcterms:modified xsi:type="dcterms:W3CDTF">2019-12-02T05:57:39Z</dcterms:modified>
  <cp:category/>
  <cp:version/>
  <cp:contentType/>
  <cp:contentStatus/>
</cp:coreProperties>
</file>